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penergy-my.sharepoint.com/personal/s632389_corp_aepsc_com/Documents/AEP West 2026 Update (2025 True-up)/Files from Allyson/TransCos/"/>
    </mc:Choice>
  </mc:AlternateContent>
  <xr:revisionPtr revIDLastSave="4" documentId="14_{4F261849-66F7-4DBE-80E2-0D2F077AB88E}" xr6:coauthVersionLast="47" xr6:coauthVersionMax="47" xr10:uidLastSave="{EF5CD073-BA9E-45F0-9FF4-CE89EFAD26D6}"/>
  <bookViews>
    <workbookView xWindow="56460" yWindow="-10935" windowWidth="29040" windowHeight="15720" activeTab="4" xr2:uid="{00000000-000D-0000-FFFF-FFFF00000000}"/>
  </bookViews>
  <sheets>
    <sheet name="2025 NOLC Refund Detail" sheetId="35" r:id="rId1"/>
    <sheet name="Summary" sheetId="29" r:id="rId2"/>
    <sheet name="Pivot" sheetId="31" r:id="rId3"/>
    <sheet name="Instructions" sheetId="33" r:id="rId4"/>
    <sheet name="Transactions" sheetId="18" r:id="rId5"/>
  </sheets>
  <definedNames>
    <definedName name="_xlnm._FilterDatabase" localSheetId="4" hidden="1">Transactions!$A$15:$R$211</definedName>
    <definedName name="AS1_1999" localSheetId="4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3">Instructions!$A$1:$Q$19</definedName>
    <definedName name="_xlnm.Print_Area" localSheetId="1">Summary!$C$1:$I$39</definedName>
    <definedName name="_xlnm.Print_Area" localSheetId="4">Transactions!$A$1:$R$211</definedName>
    <definedName name="_xlnm.Print_Titles" localSheetId="2">Pivot!$3:$4</definedName>
    <definedName name="_xlnm.Print_Titles" localSheetId="4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9" l="1"/>
  <c r="C11" i="35" l="1"/>
  <c r="B13" i="35"/>
  <c r="B4" i="35"/>
  <c r="D4" i="35" l="1"/>
  <c r="H21" i="29" s="1"/>
  <c r="D7" i="35"/>
  <c r="H24" i="29" s="1"/>
  <c r="D10" i="35"/>
  <c r="H27" i="29" s="1"/>
  <c r="D12" i="35"/>
  <c r="H29" i="29" s="1"/>
  <c r="D20" i="35"/>
  <c r="H37" i="29" s="1"/>
  <c r="D14" i="35"/>
  <c r="H31" i="29" s="1"/>
  <c r="C5" i="35"/>
  <c r="C15" i="35"/>
  <c r="C7" i="35"/>
  <c r="C16" i="35"/>
  <c r="C18" i="35"/>
  <c r="C10" i="35"/>
  <c r="C20" i="35"/>
  <c r="C12" i="35"/>
  <c r="D15" i="35"/>
  <c r="H32" i="29" s="1"/>
  <c r="D5" i="35"/>
  <c r="H22" i="29" s="1"/>
  <c r="C8" i="35"/>
  <c r="C13" i="35"/>
  <c r="D18" i="35"/>
  <c r="H35" i="29" s="1"/>
  <c r="D8" i="35"/>
  <c r="H25" i="29" s="1"/>
  <c r="D13" i="35"/>
  <c r="H30" i="29" s="1"/>
  <c r="E2" i="35"/>
  <c r="C6" i="35"/>
  <c r="D11" i="35"/>
  <c r="H28" i="29" s="1"/>
  <c r="D16" i="35"/>
  <c r="H33" i="29" s="1"/>
  <c r="C19" i="35"/>
  <c r="D6" i="35"/>
  <c r="H23" i="29" s="1"/>
  <c r="C9" i="35"/>
  <c r="C14" i="35"/>
  <c r="D19" i="35"/>
  <c r="H36" i="29" s="1"/>
  <c r="C4" i="35"/>
  <c r="D9" i="35"/>
  <c r="H26" i="29" s="1"/>
  <c r="E12" i="35" l="1"/>
  <c r="E14" i="35"/>
  <c r="E20" i="35"/>
  <c r="E7" i="35"/>
  <c r="E11" i="35"/>
  <c r="C21" i="35"/>
  <c r="E15" i="35"/>
  <c r="E10" i="35"/>
  <c r="E6" i="35"/>
  <c r="D17" i="35"/>
  <c r="E13" i="35"/>
  <c r="E18" i="35"/>
  <c r="E8" i="35"/>
  <c r="E5" i="35"/>
  <c r="E9" i="35"/>
  <c r="E16" i="35"/>
  <c r="C17" i="35"/>
  <c r="E4" i="35"/>
  <c r="E19" i="35"/>
  <c r="D21" i="35"/>
  <c r="D22" i="35" l="1"/>
  <c r="C22" i="35"/>
  <c r="E21" i="35"/>
  <c r="E17" i="35"/>
  <c r="E22" i="35" l="1"/>
  <c r="L3" i="18" l="1"/>
  <c r="K1" i="18" l="1"/>
  <c r="O13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54" i="18" s="1"/>
  <c r="D38" i="18"/>
  <c r="D50" i="18" s="1"/>
  <c r="J19" i="18"/>
  <c r="D43" i="18"/>
  <c r="D67" i="18" s="1"/>
  <c r="D91" i="18" s="1"/>
  <c r="D103" i="18" s="1"/>
  <c r="D115" i="18" s="1"/>
  <c r="D127" i="18" s="1"/>
  <c r="D139" i="18" s="1"/>
  <c r="D151" i="18" s="1"/>
  <c r="D163" i="18" s="1"/>
  <c r="B31" i="18"/>
  <c r="D42" i="18"/>
  <c r="B30" i="18"/>
  <c r="D41" i="18"/>
  <c r="D65" i="18" s="1"/>
  <c r="B29" i="18"/>
  <c r="B28" i="18"/>
  <c r="C39" i="18"/>
  <c r="C51" i="18" s="1"/>
  <c r="D39" i="18"/>
  <c r="B27" i="18"/>
  <c r="B26" i="18"/>
  <c r="B25" i="18"/>
  <c r="B24" i="18"/>
  <c r="B23" i="18"/>
  <c r="B22" i="18"/>
  <c r="B21" i="18"/>
  <c r="D32" i="18"/>
  <c r="D44" i="18" s="1"/>
  <c r="B16" i="18"/>
  <c r="J1" i="18"/>
  <c r="C43" i="18"/>
  <c r="C67" i="18" s="1"/>
  <c r="C79" i="18" s="1"/>
  <c r="B175" i="18"/>
  <c r="B174" i="18"/>
  <c r="B173" i="18"/>
  <c r="B172" i="18"/>
  <c r="B171" i="18"/>
  <c r="C38" i="18"/>
  <c r="B170" i="18"/>
  <c r="C37" i="18"/>
  <c r="C49" i="18" s="1"/>
  <c r="B169" i="18"/>
  <c r="B168" i="18"/>
  <c r="B167" i="18"/>
  <c r="B166" i="18"/>
  <c r="C33" i="18"/>
  <c r="C45" i="18" s="1"/>
  <c r="B165" i="18"/>
  <c r="C32" i="18"/>
  <c r="C56" i="18" s="1"/>
  <c r="C68" i="18" s="1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34" i="18"/>
  <c r="C46" i="18" s="1"/>
  <c r="C41" i="18"/>
  <c r="C65" i="18" s="1"/>
  <c r="D36" i="18"/>
  <c r="D48" i="18" s="1"/>
  <c r="C36" i="18"/>
  <c r="C60" i="18" s="1"/>
  <c r="C40" i="18"/>
  <c r="C52" i="18" s="1"/>
  <c r="D35" i="18"/>
  <c r="D47" i="18" s="1"/>
  <c r="D37" i="18"/>
  <c r="D61" i="18" s="1"/>
  <c r="D40" i="18"/>
  <c r="D64" i="18" s="1"/>
  <c r="D76" i="18" s="1"/>
  <c r="D33" i="18"/>
  <c r="D45" i="18" s="1"/>
  <c r="D34" i="18"/>
  <c r="D58" i="18" s="1"/>
  <c r="G30" i="29"/>
  <c r="E35" i="29"/>
  <c r="G32" i="29"/>
  <c r="G36" i="29"/>
  <c r="G22" i="29"/>
  <c r="E37" i="29"/>
  <c r="G35" i="29"/>
  <c r="G21" i="29"/>
  <c r="D29" i="29"/>
  <c r="E29" i="29"/>
  <c r="G28" i="29"/>
  <c r="E23" i="29"/>
  <c r="G33" i="29"/>
  <c r="G27" i="29"/>
  <c r="E25" i="29"/>
  <c r="E22" i="29"/>
  <c r="G29" i="29"/>
  <c r="E26" i="29"/>
  <c r="E31" i="29"/>
  <c r="E36" i="29"/>
  <c r="E30" i="29"/>
  <c r="G23" i="29"/>
  <c r="E27" i="29"/>
  <c r="G37" i="29"/>
  <c r="E21" i="29"/>
  <c r="E24" i="29"/>
  <c r="E28" i="29"/>
  <c r="G24" i="29"/>
  <c r="G26" i="29"/>
  <c r="E32" i="29"/>
  <c r="G31" i="29"/>
  <c r="E33" i="29"/>
  <c r="G25" i="29"/>
  <c r="C48" i="18" l="1"/>
  <c r="C55" i="18"/>
  <c r="C57" i="18"/>
  <c r="C81" i="18" s="1"/>
  <c r="C93" i="18" s="1"/>
  <c r="C105" i="18" s="1"/>
  <c r="C117" i="18" s="1"/>
  <c r="C129" i="18" s="1"/>
  <c r="C141" i="18" s="1"/>
  <c r="C153" i="18" s="1"/>
  <c r="C177" i="18" s="1"/>
  <c r="C189" i="18" s="1"/>
  <c r="C201" i="18" s="1"/>
  <c r="C58" i="18"/>
  <c r="C63" i="18"/>
  <c r="D52" i="18"/>
  <c r="C44" i="18"/>
  <c r="D56" i="18"/>
  <c r="D68" i="18" s="1"/>
  <c r="D53" i="18"/>
  <c r="D49" i="18"/>
  <c r="D59" i="18"/>
  <c r="C66" i="18"/>
  <c r="C78" i="18" s="1"/>
  <c r="C64" i="18"/>
  <c r="C88" i="18" s="1"/>
  <c r="C100" i="18" s="1"/>
  <c r="C112" i="18" s="1"/>
  <c r="C124" i="18" s="1"/>
  <c r="C136" i="18" s="1"/>
  <c r="C148" i="18" s="1"/>
  <c r="C160" i="18" s="1"/>
  <c r="C172" i="18" s="1"/>
  <c r="D60" i="18"/>
  <c r="D62" i="18"/>
  <c r="D86" i="18" s="1"/>
  <c r="D98" i="18" s="1"/>
  <c r="D110" i="18" s="1"/>
  <c r="D122" i="18" s="1"/>
  <c r="D134" i="18" s="1"/>
  <c r="D146" i="18" s="1"/>
  <c r="D158" i="18" s="1"/>
  <c r="D182" i="18" s="1"/>
  <c r="D194" i="18" s="1"/>
  <c r="D206" i="18" s="1"/>
  <c r="C61" i="18"/>
  <c r="C73" i="18" s="1"/>
  <c r="D57" i="18"/>
  <c r="D46" i="18"/>
  <c r="D85" i="18"/>
  <c r="D97" i="18" s="1"/>
  <c r="D109" i="18" s="1"/>
  <c r="D121" i="18" s="1"/>
  <c r="D133" i="18" s="1"/>
  <c r="D145" i="18" s="1"/>
  <c r="D157" i="18" s="1"/>
  <c r="D181" i="18" s="1"/>
  <c r="D193" i="18" s="1"/>
  <c r="D205" i="18" s="1"/>
  <c r="D73" i="18"/>
  <c r="D70" i="18"/>
  <c r="D82" i="18"/>
  <c r="D94" i="18" s="1"/>
  <c r="D106" i="18" s="1"/>
  <c r="D118" i="18" s="1"/>
  <c r="D130" i="18" s="1"/>
  <c r="D142" i="18" s="1"/>
  <c r="D154" i="18" s="1"/>
  <c r="D166" i="18" s="1"/>
  <c r="C72" i="18"/>
  <c r="C84" i="18"/>
  <c r="C96" i="18" s="1"/>
  <c r="C108" i="18" s="1"/>
  <c r="C120" i="18" s="1"/>
  <c r="C132" i="18" s="1"/>
  <c r="C144" i="18" s="1"/>
  <c r="C156" i="18" s="1"/>
  <c r="C168" i="18" s="1"/>
  <c r="D175" i="18"/>
  <c r="D187" i="18"/>
  <c r="D199" i="18" s="1"/>
  <c r="D211" i="18" s="1"/>
  <c r="C80" i="18"/>
  <c r="C92" i="18" s="1"/>
  <c r="C104" i="18" s="1"/>
  <c r="C116" i="18" s="1"/>
  <c r="C128" i="18" s="1"/>
  <c r="C140" i="18" s="1"/>
  <c r="C152" i="18" s="1"/>
  <c r="C176" i="18" s="1"/>
  <c r="C188" i="18" s="1"/>
  <c r="C200" i="18" s="1"/>
  <c r="D88" i="18"/>
  <c r="D100" i="18" s="1"/>
  <c r="D112" i="18" s="1"/>
  <c r="D124" i="18" s="1"/>
  <c r="D136" i="18" s="1"/>
  <c r="D148" i="18" s="1"/>
  <c r="D160" i="18" s="1"/>
  <c r="D172" i="18" s="1"/>
  <c r="D55" i="18"/>
  <c r="D79" i="18"/>
  <c r="C53" i="18"/>
  <c r="H38" i="29"/>
  <c r="H34" i="29"/>
  <c r="G34" i="29"/>
  <c r="G38" i="29"/>
  <c r="F29" i="29"/>
  <c r="I29" i="29" s="1"/>
  <c r="E34" i="29"/>
  <c r="E38" i="29"/>
  <c r="C47" i="18"/>
  <c r="C59" i="18"/>
  <c r="C62" i="18"/>
  <c r="C50" i="18"/>
  <c r="E10" i="29"/>
  <c r="D20" i="29"/>
  <c r="E20" i="29"/>
  <c r="C3" i="29"/>
  <c r="F10" i="29"/>
  <c r="C89" i="18"/>
  <c r="C101" i="18" s="1"/>
  <c r="C113" i="18" s="1"/>
  <c r="C125" i="18" s="1"/>
  <c r="C137" i="18" s="1"/>
  <c r="C149" i="18" s="1"/>
  <c r="C161" i="18" s="1"/>
  <c r="C77" i="18"/>
  <c r="D54" i="18"/>
  <c r="D66" i="18"/>
  <c r="D51" i="18"/>
  <c r="D63" i="18"/>
  <c r="D77" i="18"/>
  <c r="D89" i="18"/>
  <c r="D101" i="18" s="1"/>
  <c r="D113" i="18" s="1"/>
  <c r="D125" i="18" s="1"/>
  <c r="D137" i="18" s="1"/>
  <c r="D149" i="18" s="1"/>
  <c r="D161" i="18" s="1"/>
  <c r="O14" i="18"/>
  <c r="C91" i="18"/>
  <c r="C103" i="18" s="1"/>
  <c r="C115" i="18" s="1"/>
  <c r="C127" i="18" s="1"/>
  <c r="C139" i="18" s="1"/>
  <c r="C151" i="18" s="1"/>
  <c r="C163" i="18" s="1"/>
  <c r="D36" i="29"/>
  <c r="D28" i="29"/>
  <c r="D22" i="29"/>
  <c r="D32" i="29"/>
  <c r="D37" i="29"/>
  <c r="D26" i="29"/>
  <c r="D23" i="29"/>
  <c r="D31" i="29"/>
  <c r="D21" i="29"/>
  <c r="D33" i="29"/>
  <c r="D25" i="29"/>
  <c r="D27" i="29"/>
  <c r="D24" i="29"/>
  <c r="D30" i="29"/>
  <c r="D35" i="29"/>
  <c r="D169" i="18" l="1"/>
  <c r="F30" i="29"/>
  <c r="I30" i="29" s="1"/>
  <c r="F37" i="29"/>
  <c r="I37" i="29" s="1"/>
  <c r="C90" i="18"/>
  <c r="C102" i="18" s="1"/>
  <c r="C114" i="18" s="1"/>
  <c r="C126" i="18" s="1"/>
  <c r="C138" i="18" s="1"/>
  <c r="C150" i="18" s="1"/>
  <c r="C162" i="18" s="1"/>
  <c r="C186" i="18" s="1"/>
  <c r="C198" i="18" s="1"/>
  <c r="C210" i="18" s="1"/>
  <c r="C165" i="18"/>
  <c r="C69" i="18"/>
  <c r="D170" i="18"/>
  <c r="C85" i="18"/>
  <c r="C97" i="18" s="1"/>
  <c r="C109" i="18" s="1"/>
  <c r="C121" i="18" s="1"/>
  <c r="C133" i="18" s="1"/>
  <c r="C145" i="18" s="1"/>
  <c r="C157" i="18" s="1"/>
  <c r="C181" i="18" s="1"/>
  <c r="C193" i="18" s="1"/>
  <c r="C205" i="18" s="1"/>
  <c r="D80" i="18"/>
  <c r="D92" i="18" s="1"/>
  <c r="D104" i="18" s="1"/>
  <c r="D116" i="18" s="1"/>
  <c r="D128" i="18" s="1"/>
  <c r="D140" i="18" s="1"/>
  <c r="D152" i="18" s="1"/>
  <c r="D164" i="18" s="1"/>
  <c r="F32" i="29"/>
  <c r="I32" i="29" s="1"/>
  <c r="F35" i="29"/>
  <c r="I35" i="29" s="1"/>
  <c r="D38" i="29"/>
  <c r="F27" i="29"/>
  <c r="I27" i="29" s="1"/>
  <c r="F26" i="29"/>
  <c r="I26" i="29" s="1"/>
  <c r="F22" i="29"/>
  <c r="I22" i="29" s="1"/>
  <c r="F33" i="29"/>
  <c r="I33" i="29" s="1"/>
  <c r="F24" i="29"/>
  <c r="I24" i="29" s="1"/>
  <c r="F21" i="29"/>
  <c r="I21" i="29" s="1"/>
  <c r="D34" i="29"/>
  <c r="F36" i="29"/>
  <c r="I36" i="29" s="1"/>
  <c r="F25" i="29"/>
  <c r="I25" i="29" s="1"/>
  <c r="F28" i="29"/>
  <c r="I28" i="29" s="1"/>
  <c r="F23" i="29"/>
  <c r="I23" i="29" s="1"/>
  <c r="F31" i="29"/>
  <c r="I31" i="29" s="1"/>
  <c r="C70" i="18"/>
  <c r="C82" i="18"/>
  <c r="C94" i="18" s="1"/>
  <c r="C106" i="18" s="1"/>
  <c r="C118" i="18" s="1"/>
  <c r="C130" i="18" s="1"/>
  <c r="C142" i="18" s="1"/>
  <c r="C154" i="18" s="1"/>
  <c r="C75" i="18"/>
  <c r="C87" i="18"/>
  <c r="C99" i="18" s="1"/>
  <c r="C111" i="18" s="1"/>
  <c r="C123" i="18" s="1"/>
  <c r="C135" i="18" s="1"/>
  <c r="C147" i="18" s="1"/>
  <c r="C159" i="18" s="1"/>
  <c r="C184" i="18"/>
  <c r="C196" i="18" s="1"/>
  <c r="C208" i="18" s="1"/>
  <c r="C180" i="18"/>
  <c r="C192" i="18" s="1"/>
  <c r="C204" i="18" s="1"/>
  <c r="D184" i="18"/>
  <c r="D196" i="18" s="1"/>
  <c r="D208" i="18" s="1"/>
  <c r="C76" i="18"/>
  <c r="D71" i="18"/>
  <c r="D83" i="18"/>
  <c r="D95" i="18" s="1"/>
  <c r="D107" i="18" s="1"/>
  <c r="D119" i="18" s="1"/>
  <c r="D131" i="18" s="1"/>
  <c r="D143" i="18" s="1"/>
  <c r="D155" i="18" s="1"/>
  <c r="D74" i="18"/>
  <c r="D69" i="18"/>
  <c r="D81" i="18"/>
  <c r="D93" i="18" s="1"/>
  <c r="D105" i="18" s="1"/>
  <c r="D117" i="18" s="1"/>
  <c r="D129" i="18" s="1"/>
  <c r="D141" i="18" s="1"/>
  <c r="D153" i="18" s="1"/>
  <c r="D72" i="18"/>
  <c r="D84" i="18"/>
  <c r="D96" i="18" s="1"/>
  <c r="D108" i="18" s="1"/>
  <c r="D120" i="18" s="1"/>
  <c r="D132" i="18" s="1"/>
  <c r="D144" i="18" s="1"/>
  <c r="D156" i="18" s="1"/>
  <c r="E39" i="29"/>
  <c r="G39" i="29"/>
  <c r="D178" i="18"/>
  <c r="D190" i="18" s="1"/>
  <c r="D202" i="18" s="1"/>
  <c r="C164" i="18"/>
  <c r="D87" i="18"/>
  <c r="D99" i="18" s="1"/>
  <c r="D111" i="18" s="1"/>
  <c r="D123" i="18" s="1"/>
  <c r="D135" i="18" s="1"/>
  <c r="D147" i="18" s="1"/>
  <c r="D159" i="18" s="1"/>
  <c r="D75" i="18"/>
  <c r="D173" i="18"/>
  <c r="D185" i="18"/>
  <c r="D197" i="18" s="1"/>
  <c r="D209" i="18" s="1"/>
  <c r="D78" i="18"/>
  <c r="D90" i="18"/>
  <c r="D102" i="18" s="1"/>
  <c r="D114" i="18" s="1"/>
  <c r="D126" i="18" s="1"/>
  <c r="D138" i="18" s="1"/>
  <c r="D150" i="18" s="1"/>
  <c r="D162" i="18" s="1"/>
  <c r="C86" i="18"/>
  <c r="C98" i="18" s="1"/>
  <c r="C110" i="18" s="1"/>
  <c r="C122" i="18" s="1"/>
  <c r="C134" i="18" s="1"/>
  <c r="C146" i="18" s="1"/>
  <c r="C158" i="18" s="1"/>
  <c r="C74" i="18"/>
  <c r="P14" i="18"/>
  <c r="P212" i="18"/>
  <c r="P13" i="18"/>
  <c r="C173" i="18"/>
  <c r="C185" i="18"/>
  <c r="C197" i="18" s="1"/>
  <c r="C209" i="18" s="1"/>
  <c r="C175" i="18"/>
  <c r="C187" i="18"/>
  <c r="C199" i="18" s="1"/>
  <c r="C211" i="18" s="1"/>
  <c r="C71" i="18"/>
  <c r="C83" i="18"/>
  <c r="C95" i="18" s="1"/>
  <c r="C107" i="18" s="1"/>
  <c r="C119" i="18" s="1"/>
  <c r="C131" i="18" s="1"/>
  <c r="C143" i="18" s="1"/>
  <c r="C155" i="18" s="1"/>
  <c r="H39" i="29"/>
  <c r="C174" i="18" l="1"/>
  <c r="D176" i="18"/>
  <c r="D188" i="18" s="1"/>
  <c r="D200" i="18" s="1"/>
  <c r="C169" i="18"/>
  <c r="D39" i="29"/>
  <c r="F38" i="29"/>
  <c r="C183" i="18"/>
  <c r="C195" i="18" s="1"/>
  <c r="C207" i="18" s="1"/>
  <c r="C171" i="18"/>
  <c r="F34" i="29"/>
  <c r="C166" i="18"/>
  <c r="C178" i="18"/>
  <c r="C190" i="18" s="1"/>
  <c r="C202" i="18" s="1"/>
  <c r="D167" i="18"/>
  <c r="D179" i="18"/>
  <c r="D191" i="18" s="1"/>
  <c r="D203" i="18" s="1"/>
  <c r="I38" i="29"/>
  <c r="I34" i="29"/>
  <c r="D165" i="18"/>
  <c r="D177" i="18"/>
  <c r="D189" i="18" s="1"/>
  <c r="D201" i="18" s="1"/>
  <c r="D180" i="18"/>
  <c r="D192" i="18" s="1"/>
  <c r="D204" i="18" s="1"/>
  <c r="D168" i="18"/>
  <c r="Q14" i="18"/>
  <c r="Q13" i="18"/>
  <c r="C179" i="18"/>
  <c r="C191" i="18" s="1"/>
  <c r="C203" i="18" s="1"/>
  <c r="C167" i="18"/>
  <c r="C170" i="18"/>
  <c r="C182" i="18"/>
  <c r="C194" i="18" s="1"/>
  <c r="C206" i="18" s="1"/>
  <c r="D171" i="18"/>
  <c r="D183" i="18"/>
  <c r="D195" i="18" s="1"/>
  <c r="D207" i="18" s="1"/>
  <c r="D186" i="18"/>
  <c r="D198" i="18" s="1"/>
  <c r="D210" i="18" s="1"/>
  <c r="D174" i="18"/>
  <c r="F39" i="29" l="1"/>
  <c r="I39" i="29"/>
  <c r="E11" i="29" l="1"/>
  <c r="H209" i="18" l="1"/>
  <c r="H23" i="18"/>
  <c r="H55" i="18"/>
  <c r="H87" i="18"/>
  <c r="H119" i="18"/>
  <c r="H151" i="18"/>
  <c r="H183" i="18"/>
  <c r="H30" i="18"/>
  <c r="H94" i="18"/>
  <c r="H166" i="18"/>
  <c r="H36" i="18"/>
  <c r="H68" i="18"/>
  <c r="H100" i="18"/>
  <c r="H132" i="18"/>
  <c r="H164" i="18"/>
  <c r="H196" i="18"/>
  <c r="H54" i="18"/>
  <c r="H110" i="18"/>
  <c r="H170" i="18"/>
  <c r="H21" i="18"/>
  <c r="H53" i="18"/>
  <c r="H85" i="18"/>
  <c r="H117" i="18"/>
  <c r="H149" i="18"/>
  <c r="H181" i="18"/>
  <c r="H135" i="18"/>
  <c r="H58" i="18"/>
  <c r="H52" i="18"/>
  <c r="H148" i="18"/>
  <c r="H22" i="18"/>
  <c r="H37" i="18"/>
  <c r="H101" i="18"/>
  <c r="H92" i="18"/>
  <c r="H158" i="18"/>
  <c r="H141" i="18"/>
  <c r="H51" i="18"/>
  <c r="H154" i="18"/>
  <c r="H192" i="18"/>
  <c r="H81" i="18"/>
  <c r="H27" i="18"/>
  <c r="H59" i="18"/>
  <c r="H91" i="18"/>
  <c r="H123" i="18"/>
  <c r="H155" i="18"/>
  <c r="H187" i="18"/>
  <c r="H34" i="18"/>
  <c r="H106" i="18"/>
  <c r="H178" i="18"/>
  <c r="H40" i="18"/>
  <c r="H72" i="18"/>
  <c r="H104" i="18"/>
  <c r="H136" i="18"/>
  <c r="H168" i="18"/>
  <c r="H200" i="18"/>
  <c r="H62" i="18"/>
  <c r="H118" i="18"/>
  <c r="H174" i="18"/>
  <c r="H25" i="18"/>
  <c r="H57" i="18"/>
  <c r="H89" i="18"/>
  <c r="H121" i="18"/>
  <c r="H153" i="18"/>
  <c r="H185" i="18"/>
  <c r="H103" i="18"/>
  <c r="H134" i="18"/>
  <c r="H84" i="18"/>
  <c r="H180" i="18"/>
  <c r="H194" i="18"/>
  <c r="H133" i="18"/>
  <c r="H156" i="18"/>
  <c r="H202" i="18"/>
  <c r="H173" i="18"/>
  <c r="H147" i="18"/>
  <c r="H211" i="18"/>
  <c r="H96" i="18"/>
  <c r="H46" i="18"/>
  <c r="H49" i="18"/>
  <c r="H31" i="18"/>
  <c r="H63" i="18"/>
  <c r="H95" i="18"/>
  <c r="H127" i="18"/>
  <c r="H159" i="18"/>
  <c r="H191" i="18"/>
  <c r="H38" i="18"/>
  <c r="H114" i="18"/>
  <c r="H186" i="18"/>
  <c r="H44" i="18"/>
  <c r="H76" i="18"/>
  <c r="H108" i="18"/>
  <c r="H140" i="18"/>
  <c r="H172" i="18"/>
  <c r="H204" i="18"/>
  <c r="H70" i="18"/>
  <c r="H126" i="18"/>
  <c r="H182" i="18"/>
  <c r="H29" i="18"/>
  <c r="H61" i="18"/>
  <c r="H93" i="18"/>
  <c r="H125" i="18"/>
  <c r="H157" i="18"/>
  <c r="H189" i="18"/>
  <c r="H71" i="18"/>
  <c r="H138" i="18"/>
  <c r="H165" i="18"/>
  <c r="H42" i="18"/>
  <c r="H109" i="18"/>
  <c r="H179" i="18"/>
  <c r="H86" i="18"/>
  <c r="H128" i="18"/>
  <c r="H210" i="18"/>
  <c r="H177" i="18"/>
  <c r="H35" i="18"/>
  <c r="H67" i="18"/>
  <c r="H99" i="18"/>
  <c r="H131" i="18"/>
  <c r="H163" i="18"/>
  <c r="H195" i="18"/>
  <c r="H50" i="18"/>
  <c r="H122" i="18"/>
  <c r="H206" i="18"/>
  <c r="H48" i="18"/>
  <c r="H80" i="18"/>
  <c r="H112" i="18"/>
  <c r="H144" i="18"/>
  <c r="H176" i="18"/>
  <c r="H208" i="18"/>
  <c r="H74" i="18"/>
  <c r="H130" i="18"/>
  <c r="H190" i="18"/>
  <c r="H33" i="18"/>
  <c r="H65" i="18"/>
  <c r="H97" i="18"/>
  <c r="H129" i="18"/>
  <c r="H161" i="18"/>
  <c r="H193" i="18"/>
  <c r="H39" i="18"/>
  <c r="H167" i="18"/>
  <c r="H199" i="18"/>
  <c r="H20" i="18"/>
  <c r="H116" i="18"/>
  <c r="H82" i="18"/>
  <c r="H69" i="18"/>
  <c r="H197" i="18"/>
  <c r="H188" i="18"/>
  <c r="H45" i="18"/>
  <c r="H83" i="18"/>
  <c r="H64" i="18"/>
  <c r="H102" i="18"/>
  <c r="H145" i="18"/>
  <c r="H43" i="18"/>
  <c r="H75" i="18"/>
  <c r="H107" i="18"/>
  <c r="H139" i="18"/>
  <c r="H171" i="18"/>
  <c r="H203" i="18"/>
  <c r="H66" i="18"/>
  <c r="H142" i="18"/>
  <c r="H24" i="18"/>
  <c r="H56" i="18"/>
  <c r="H88" i="18"/>
  <c r="H120" i="18"/>
  <c r="H152" i="18"/>
  <c r="H184" i="18"/>
  <c r="H26" i="18"/>
  <c r="H90" i="18"/>
  <c r="H146" i="18"/>
  <c r="H198" i="18"/>
  <c r="H41" i="18"/>
  <c r="H73" i="18"/>
  <c r="H105" i="18"/>
  <c r="H137" i="18"/>
  <c r="H169" i="18"/>
  <c r="H201" i="18"/>
  <c r="H47" i="18"/>
  <c r="H79" i="18"/>
  <c r="H111" i="18"/>
  <c r="H143" i="18"/>
  <c r="H175" i="18"/>
  <c r="H207" i="18"/>
  <c r="H78" i="18"/>
  <c r="H150" i="18"/>
  <c r="H28" i="18"/>
  <c r="H60" i="18"/>
  <c r="H124" i="18"/>
  <c r="H98" i="18"/>
  <c r="H77" i="18"/>
  <c r="H205" i="18"/>
  <c r="H115" i="18"/>
  <c r="H32" i="18"/>
  <c r="H160" i="18"/>
  <c r="H162" i="18"/>
  <c r="H113" i="18"/>
  <c r="E13" i="29"/>
  <c r="K53" i="18" l="1"/>
  <c r="K38" i="18"/>
  <c r="K98" i="18"/>
  <c r="K146" i="18"/>
  <c r="K24" i="18"/>
  <c r="K48" i="18"/>
  <c r="K68" i="18"/>
  <c r="K92" i="18"/>
  <c r="K108" i="18"/>
  <c r="K28" i="18"/>
  <c r="K36" i="18"/>
  <c r="K44" i="18"/>
  <c r="K52" i="18"/>
  <c r="K72" i="18"/>
  <c r="K80" i="18"/>
  <c r="K88" i="18"/>
  <c r="K96" i="18"/>
  <c r="K104" i="18"/>
  <c r="K112" i="18"/>
  <c r="K120" i="18"/>
  <c r="K128" i="18"/>
  <c r="K136" i="18"/>
  <c r="K144" i="18"/>
  <c r="K152" i="18"/>
  <c r="K160" i="18"/>
  <c r="K168" i="18"/>
  <c r="K176" i="18"/>
  <c r="K184" i="18"/>
  <c r="K192" i="18"/>
  <c r="K200" i="18"/>
  <c r="K208" i="18"/>
  <c r="K60" i="18"/>
  <c r="K73" i="18"/>
  <c r="K81" i="18"/>
  <c r="K89" i="18"/>
  <c r="K97" i="18"/>
  <c r="K105" i="18"/>
  <c r="K113" i="18"/>
  <c r="K121" i="18"/>
  <c r="K129" i="18"/>
  <c r="K137" i="18"/>
  <c r="K145" i="18"/>
  <c r="K153" i="18"/>
  <c r="K161" i="18"/>
  <c r="K169" i="18"/>
  <c r="K177" i="18"/>
  <c r="K185" i="18"/>
  <c r="K193" i="18"/>
  <c r="K201" i="18"/>
  <c r="K209" i="18"/>
  <c r="K61" i="18"/>
  <c r="K29" i="18"/>
  <c r="K46" i="18"/>
  <c r="K162" i="18"/>
  <c r="K170" i="18"/>
  <c r="K178" i="18"/>
  <c r="K186" i="18"/>
  <c r="K194" i="18"/>
  <c r="K202" i="18"/>
  <c r="K210" i="18"/>
  <c r="K62" i="18"/>
  <c r="K21" i="18"/>
  <c r="K130" i="18"/>
  <c r="K31" i="18"/>
  <c r="K47" i="18"/>
  <c r="K83" i="18"/>
  <c r="K91" i="18"/>
  <c r="K99" i="18"/>
  <c r="K107" i="18"/>
  <c r="K115" i="18"/>
  <c r="K123" i="18"/>
  <c r="K131" i="18"/>
  <c r="K139" i="18"/>
  <c r="K147" i="18"/>
  <c r="K155" i="18"/>
  <c r="K163" i="18"/>
  <c r="K171" i="18"/>
  <c r="K179" i="18"/>
  <c r="K187" i="18"/>
  <c r="K195" i="18"/>
  <c r="K203" i="18"/>
  <c r="K211" i="18"/>
  <c r="K63" i="18"/>
  <c r="K74" i="18"/>
  <c r="K122" i="18"/>
  <c r="K55" i="18"/>
  <c r="K40" i="18"/>
  <c r="K148" i="18"/>
  <c r="K156" i="18"/>
  <c r="K172" i="18"/>
  <c r="K180" i="18"/>
  <c r="K188" i="18"/>
  <c r="K196" i="18"/>
  <c r="K204" i="18"/>
  <c r="K56" i="18"/>
  <c r="K64" i="18"/>
  <c r="K45" i="18"/>
  <c r="K22" i="18"/>
  <c r="K54" i="18"/>
  <c r="K90" i="18"/>
  <c r="K114" i="18"/>
  <c r="K138" i="18"/>
  <c r="K23" i="18"/>
  <c r="K75" i="18"/>
  <c r="K32" i="18"/>
  <c r="K76" i="18"/>
  <c r="K164" i="18"/>
  <c r="K33" i="18"/>
  <c r="K41" i="18"/>
  <c r="K49" i="18"/>
  <c r="K69" i="18"/>
  <c r="K77" i="18"/>
  <c r="K85" i="18"/>
  <c r="K93" i="18"/>
  <c r="K101" i="18"/>
  <c r="K109" i="18"/>
  <c r="K117" i="18"/>
  <c r="K125" i="18"/>
  <c r="K133" i="18"/>
  <c r="K141" i="18"/>
  <c r="K149" i="18"/>
  <c r="K157" i="18"/>
  <c r="K165" i="18"/>
  <c r="K173" i="18"/>
  <c r="K181" i="18"/>
  <c r="K189" i="18"/>
  <c r="K197" i="18"/>
  <c r="K205" i="18"/>
  <c r="K57" i="18"/>
  <c r="K65" i="18"/>
  <c r="K37" i="18"/>
  <c r="K30" i="18"/>
  <c r="K82" i="18"/>
  <c r="K106" i="18"/>
  <c r="K154" i="18"/>
  <c r="K39" i="18"/>
  <c r="K84" i="18"/>
  <c r="K100" i="18"/>
  <c r="K116" i="18"/>
  <c r="K124" i="18"/>
  <c r="K132" i="18"/>
  <c r="K25" i="18"/>
  <c r="K70" i="18"/>
  <c r="K86" i="18"/>
  <c r="K94" i="18"/>
  <c r="K102" i="18"/>
  <c r="K110" i="18"/>
  <c r="K118" i="18"/>
  <c r="K126" i="18"/>
  <c r="K134" i="18"/>
  <c r="K142" i="18"/>
  <c r="K150" i="18"/>
  <c r="K158" i="18"/>
  <c r="K166" i="18"/>
  <c r="K174" i="18"/>
  <c r="K182" i="18"/>
  <c r="K190" i="18"/>
  <c r="K198" i="18"/>
  <c r="K206" i="18"/>
  <c r="K58" i="18"/>
  <c r="K66" i="18"/>
  <c r="K140" i="18"/>
  <c r="K26" i="18"/>
  <c r="K34" i="18"/>
  <c r="K42" i="18"/>
  <c r="K50" i="18"/>
  <c r="K78" i="18"/>
  <c r="K27" i="18"/>
  <c r="K35" i="18"/>
  <c r="K43" i="18"/>
  <c r="K51" i="18"/>
  <c r="K71" i="18"/>
  <c r="K79" i="18"/>
  <c r="K87" i="18"/>
  <c r="K95" i="18"/>
  <c r="K103" i="18"/>
  <c r="K111" i="18"/>
  <c r="K119" i="18"/>
  <c r="K127" i="18"/>
  <c r="K135" i="18"/>
  <c r="K143" i="18"/>
  <c r="K151" i="18"/>
  <c r="K159" i="18"/>
  <c r="K167" i="18"/>
  <c r="K175" i="18"/>
  <c r="K183" i="18"/>
  <c r="K191" i="18"/>
  <c r="K199" i="18"/>
  <c r="K207" i="18"/>
  <c r="K59" i="18"/>
  <c r="K67" i="18"/>
  <c r="G212" i="18"/>
  <c r="K20" i="18"/>
  <c r="K13" i="18" l="1"/>
  <c r="K212" i="18"/>
  <c r="K14" i="18"/>
  <c r="F12" i="29" l="1"/>
  <c r="I120" i="18" l="1"/>
  <c r="J120" i="18" s="1"/>
  <c r="L120" i="18" s="1"/>
  <c r="I39" i="18"/>
  <c r="J39" i="18" s="1"/>
  <c r="L39" i="18" s="1"/>
  <c r="I178" i="18"/>
  <c r="J178" i="18" s="1"/>
  <c r="L178" i="18" s="1"/>
  <c r="I193" i="18"/>
  <c r="J193" i="18" s="1"/>
  <c r="L193" i="18" s="1"/>
  <c r="I144" i="18"/>
  <c r="J144" i="18" s="1"/>
  <c r="L144" i="18" s="1"/>
  <c r="I147" i="18"/>
  <c r="J147" i="18" s="1"/>
  <c r="L147" i="18" s="1"/>
  <c r="I192" i="18"/>
  <c r="J192" i="18" s="1"/>
  <c r="L192" i="18" s="1"/>
  <c r="I175" i="18"/>
  <c r="J175" i="18" s="1"/>
  <c r="L175" i="18" s="1"/>
  <c r="I131" i="18"/>
  <c r="J131" i="18" s="1"/>
  <c r="L131" i="18" s="1"/>
  <c r="I36" i="18"/>
  <c r="J36" i="18" s="1"/>
  <c r="L36" i="18" s="1"/>
  <c r="I187" i="18"/>
  <c r="J187" i="18" s="1"/>
  <c r="L187" i="18" s="1"/>
  <c r="I58" i="18"/>
  <c r="J58" i="18" s="1"/>
  <c r="L58" i="18" s="1"/>
  <c r="I205" i="18"/>
  <c r="J205" i="18" s="1"/>
  <c r="L205" i="18" s="1"/>
  <c r="I155" i="18"/>
  <c r="J155" i="18" s="1"/>
  <c r="L155" i="18" s="1"/>
  <c r="I162" i="18"/>
  <c r="J162" i="18" s="1"/>
  <c r="L162" i="18" s="1"/>
  <c r="I25" i="18"/>
  <c r="J25" i="18" s="1"/>
  <c r="L25" i="18" s="1"/>
  <c r="I167" i="18"/>
  <c r="J167" i="18" s="1"/>
  <c r="L167" i="18" s="1"/>
  <c r="I81" i="18"/>
  <c r="J81" i="18" s="1"/>
  <c r="L81" i="18" s="1"/>
  <c r="I157" i="18"/>
  <c r="J157" i="18" s="1"/>
  <c r="L157" i="18" s="1"/>
  <c r="I154" i="18"/>
  <c r="J154" i="18" s="1"/>
  <c r="L154" i="18" s="1"/>
  <c r="I179" i="18"/>
  <c r="J179" i="18" s="1"/>
  <c r="L179" i="18" s="1"/>
  <c r="I159" i="18"/>
  <c r="J159" i="18" s="1"/>
  <c r="L159" i="18" s="1"/>
  <c r="I103" i="18"/>
  <c r="J103" i="18" s="1"/>
  <c r="L103" i="18" s="1"/>
  <c r="I123" i="18"/>
  <c r="J123" i="18" s="1"/>
  <c r="L123" i="18" s="1"/>
  <c r="I105" i="18"/>
  <c r="J105" i="18" s="1"/>
  <c r="L105" i="18" s="1"/>
  <c r="I43" i="18"/>
  <c r="J43" i="18" s="1"/>
  <c r="L43" i="18" s="1"/>
  <c r="I183" i="18"/>
  <c r="J183" i="18" s="1"/>
  <c r="L183" i="18" s="1"/>
  <c r="I198" i="18"/>
  <c r="J198" i="18" s="1"/>
  <c r="L198" i="18" s="1"/>
  <c r="I83" i="18"/>
  <c r="J83" i="18" s="1"/>
  <c r="L83" i="18" s="1"/>
  <c r="I72" i="18"/>
  <c r="J72" i="18" s="1"/>
  <c r="L72" i="18" s="1"/>
  <c r="I166" i="18"/>
  <c r="J166" i="18" s="1"/>
  <c r="L166" i="18" s="1"/>
  <c r="I197" i="18"/>
  <c r="J197" i="18" s="1"/>
  <c r="L197" i="18" s="1"/>
  <c r="I151" i="18"/>
  <c r="J151" i="18" s="1"/>
  <c r="L151" i="18" s="1"/>
  <c r="I35" i="18"/>
  <c r="J35" i="18" s="1"/>
  <c r="L35" i="18" s="1"/>
  <c r="I99" i="18"/>
  <c r="J99" i="18" s="1"/>
  <c r="L99" i="18" s="1"/>
  <c r="I88" i="18"/>
  <c r="J88" i="18" s="1"/>
  <c r="L88" i="18" s="1"/>
  <c r="I186" i="18"/>
  <c r="J186" i="18" s="1"/>
  <c r="L186" i="18" s="1"/>
  <c r="I21" i="18"/>
  <c r="J21" i="18" s="1"/>
  <c r="L21" i="18" s="1"/>
  <c r="I31" i="18"/>
  <c r="J31" i="18" s="1"/>
  <c r="L31" i="18" s="1"/>
  <c r="I199" i="18"/>
  <c r="J199" i="18" s="1"/>
  <c r="L199" i="18" s="1"/>
  <c r="I124" i="18"/>
  <c r="J124" i="18" s="1"/>
  <c r="L124" i="18" s="1"/>
  <c r="I109" i="18"/>
  <c r="J109" i="18" s="1"/>
  <c r="L109" i="18" s="1"/>
  <c r="I180" i="18"/>
  <c r="J180" i="18" s="1"/>
  <c r="L180" i="18" s="1"/>
  <c r="I172" i="18"/>
  <c r="J172" i="18" s="1"/>
  <c r="L172" i="18" s="1"/>
  <c r="I142" i="18"/>
  <c r="J142" i="18" s="1"/>
  <c r="L142" i="18" s="1"/>
  <c r="I136" i="18"/>
  <c r="J136" i="18" s="1"/>
  <c r="L136" i="18" s="1"/>
  <c r="I141" i="18"/>
  <c r="J141" i="18" s="1"/>
  <c r="L141" i="18" s="1"/>
  <c r="I127" i="18"/>
  <c r="J127" i="18" s="1"/>
  <c r="L127" i="18" s="1"/>
  <c r="I164" i="18"/>
  <c r="J164" i="18" s="1"/>
  <c r="L164" i="18" s="1"/>
  <c r="I32" i="18"/>
  <c r="J32" i="18" s="1"/>
  <c r="L32" i="18" s="1"/>
  <c r="I70" i="18"/>
  <c r="J70" i="18" s="1"/>
  <c r="L70" i="18" s="1"/>
  <c r="I42" i="18"/>
  <c r="J42" i="18" s="1"/>
  <c r="L42" i="18" s="1"/>
  <c r="I28" i="18"/>
  <c r="J28" i="18" s="1"/>
  <c r="L28" i="18" s="1"/>
  <c r="I202" i="18"/>
  <c r="J202" i="18" s="1"/>
  <c r="L202" i="18" s="1"/>
  <c r="I40" i="18"/>
  <c r="J40" i="18" s="1"/>
  <c r="L40" i="18" s="1"/>
  <c r="I210" i="18"/>
  <c r="J210" i="18" s="1"/>
  <c r="L210" i="18" s="1"/>
  <c r="I20" i="18"/>
  <c r="J20" i="18" s="1"/>
  <c r="I67" i="18"/>
  <c r="J67" i="18" s="1"/>
  <c r="L67" i="18" s="1"/>
  <c r="I79" i="18"/>
  <c r="J79" i="18" s="1"/>
  <c r="L79" i="18" s="1"/>
  <c r="I191" i="18"/>
  <c r="J191" i="18" s="1"/>
  <c r="L191" i="18" s="1"/>
  <c r="I47" i="18"/>
  <c r="J47" i="18" s="1"/>
  <c r="L47" i="18" s="1"/>
  <c r="I168" i="18"/>
  <c r="J168" i="18" s="1"/>
  <c r="L168" i="18" s="1"/>
  <c r="I209" i="18"/>
  <c r="J209" i="18" s="1"/>
  <c r="L209" i="18" s="1"/>
  <c r="I122" i="18"/>
  <c r="J122" i="18" s="1"/>
  <c r="L122" i="18" s="1"/>
  <c r="I153" i="18"/>
  <c r="J153" i="18" s="1"/>
  <c r="L153" i="18" s="1"/>
  <c r="I196" i="18"/>
  <c r="J196" i="18" s="1"/>
  <c r="L196" i="18" s="1"/>
  <c r="I184" i="18"/>
  <c r="J184" i="18" s="1"/>
  <c r="L184" i="18" s="1"/>
  <c r="I91" i="18"/>
  <c r="J91" i="18" s="1"/>
  <c r="L91" i="18" s="1"/>
  <c r="I77" i="18"/>
  <c r="J77" i="18" s="1"/>
  <c r="L77" i="18" s="1"/>
  <c r="I138" i="18"/>
  <c r="J138" i="18" s="1"/>
  <c r="L138" i="18" s="1"/>
  <c r="I111" i="18"/>
  <c r="J111" i="18" s="1"/>
  <c r="L111" i="18" s="1"/>
  <c r="I33" i="18"/>
  <c r="J33" i="18" s="1"/>
  <c r="L33" i="18" s="1"/>
  <c r="I44" i="18"/>
  <c r="J44" i="18" s="1"/>
  <c r="L44" i="18" s="1"/>
  <c r="I34" i="18"/>
  <c r="J34" i="18" s="1"/>
  <c r="L34" i="18" s="1"/>
  <c r="I195" i="18"/>
  <c r="J195" i="18" s="1"/>
  <c r="L195" i="18" s="1"/>
  <c r="I114" i="18"/>
  <c r="J114" i="18" s="1"/>
  <c r="L114" i="18" s="1"/>
  <c r="I119" i="18"/>
  <c r="J119" i="18" s="1"/>
  <c r="L119" i="18" s="1"/>
  <c r="I130" i="18"/>
  <c r="J130" i="18" s="1"/>
  <c r="L130" i="18" s="1"/>
  <c r="I87" i="18"/>
  <c r="J87" i="18" s="1"/>
  <c r="L87" i="18" s="1"/>
  <c r="I194" i="18"/>
  <c r="J194" i="18" s="1"/>
  <c r="L194" i="18" s="1"/>
  <c r="I46" i="18"/>
  <c r="J46" i="18" s="1"/>
  <c r="L46" i="18" s="1"/>
  <c r="I78" i="18"/>
  <c r="J78" i="18" s="1"/>
  <c r="L78" i="18" s="1"/>
  <c r="I66" i="18"/>
  <c r="J66" i="18" s="1"/>
  <c r="L66" i="18" s="1"/>
  <c r="I128" i="18"/>
  <c r="J128" i="18" s="1"/>
  <c r="L128" i="18" s="1"/>
  <c r="I101" i="18"/>
  <c r="J101" i="18" s="1"/>
  <c r="L101" i="18" s="1"/>
  <c r="I110" i="18"/>
  <c r="J110" i="18" s="1"/>
  <c r="L110" i="18" s="1"/>
  <c r="I204" i="18"/>
  <c r="J204" i="18" s="1"/>
  <c r="L204" i="18" s="1"/>
  <c r="I22" i="18"/>
  <c r="J22" i="18" s="1"/>
  <c r="L22" i="18" s="1"/>
  <c r="I200" i="18"/>
  <c r="J200" i="18" s="1"/>
  <c r="L200" i="18" s="1"/>
  <c r="I104" i="18"/>
  <c r="J104" i="18" s="1"/>
  <c r="L104" i="18" s="1"/>
  <c r="I60" i="18"/>
  <c r="J60" i="18" s="1"/>
  <c r="L60" i="18" s="1"/>
  <c r="I126" i="18"/>
  <c r="J126" i="18" s="1"/>
  <c r="L126" i="18" s="1"/>
  <c r="I82" i="18"/>
  <c r="J82" i="18" s="1"/>
  <c r="L82" i="18" s="1"/>
  <c r="I113" i="18"/>
  <c r="J113" i="18" s="1"/>
  <c r="L113" i="18" s="1"/>
  <c r="I112" i="18"/>
  <c r="J112" i="18" s="1"/>
  <c r="L112" i="18" s="1"/>
  <c r="I50" i="18"/>
  <c r="J50" i="18" s="1"/>
  <c r="L50" i="18" s="1"/>
  <c r="I63" i="18"/>
  <c r="J63" i="18" s="1"/>
  <c r="L63" i="18" s="1"/>
  <c r="I148" i="18"/>
  <c r="J148" i="18" s="1"/>
  <c r="L148" i="18" s="1"/>
  <c r="I188" i="18"/>
  <c r="J188" i="18" s="1"/>
  <c r="L188" i="18" s="1"/>
  <c r="I106" i="18"/>
  <c r="J106" i="18" s="1"/>
  <c r="L106" i="18" s="1"/>
  <c r="I149" i="18"/>
  <c r="J149" i="18" s="1"/>
  <c r="L149" i="18" s="1"/>
  <c r="F14" i="29"/>
  <c r="I107" i="18"/>
  <c r="J107" i="18" s="1"/>
  <c r="L107" i="18" s="1"/>
  <c r="I54" i="18"/>
  <c r="J54" i="18" s="1"/>
  <c r="L54" i="18" s="1"/>
  <c r="I29" i="18"/>
  <c r="J29" i="18" s="1"/>
  <c r="L29" i="18" s="1"/>
  <c r="I56" i="18"/>
  <c r="J56" i="18" s="1"/>
  <c r="I97" i="18"/>
  <c r="J97" i="18" s="1"/>
  <c r="L97" i="18" s="1"/>
  <c r="I132" i="18"/>
  <c r="J132" i="18" s="1"/>
  <c r="L132" i="18" s="1"/>
  <c r="I160" i="18"/>
  <c r="J160" i="18" s="1"/>
  <c r="L160" i="18" s="1"/>
  <c r="I61" i="18"/>
  <c r="J61" i="18" s="1"/>
  <c r="L61" i="18" s="1"/>
  <c r="I84" i="18"/>
  <c r="J84" i="18" s="1"/>
  <c r="L84" i="18" s="1"/>
  <c r="I173" i="18"/>
  <c r="J173" i="18" s="1"/>
  <c r="L173" i="18" s="1"/>
  <c r="I45" i="18"/>
  <c r="J45" i="18" s="1"/>
  <c r="L45" i="18" s="1"/>
  <c r="I140" i="18"/>
  <c r="J140" i="18" s="1"/>
  <c r="L140" i="18" s="1"/>
  <c r="I75" i="18"/>
  <c r="J75" i="18" s="1"/>
  <c r="L75" i="18" s="1"/>
  <c r="I108" i="18"/>
  <c r="J108" i="18" s="1"/>
  <c r="L108" i="18" s="1"/>
  <c r="I102" i="18"/>
  <c r="J102" i="18" s="1"/>
  <c r="L102" i="18" s="1"/>
  <c r="I134" i="18"/>
  <c r="J134" i="18" s="1"/>
  <c r="L134" i="18" s="1"/>
  <c r="I176" i="18"/>
  <c r="J176" i="18" s="1"/>
  <c r="L176" i="18" s="1"/>
  <c r="I69" i="18"/>
  <c r="J69" i="18" s="1"/>
  <c r="L69" i="18" s="1"/>
  <c r="I37" i="18"/>
  <c r="J37" i="18" s="1"/>
  <c r="L37" i="18" s="1"/>
  <c r="I116" i="18"/>
  <c r="J116" i="18" s="1"/>
  <c r="L116" i="18" s="1"/>
  <c r="I24" i="18"/>
  <c r="J24" i="18" s="1"/>
  <c r="L24" i="18" s="1"/>
  <c r="I64" i="18"/>
  <c r="J64" i="18" s="1"/>
  <c r="L64" i="18" s="1"/>
  <c r="I206" i="18"/>
  <c r="J206" i="18" s="1"/>
  <c r="L206" i="18" s="1"/>
  <c r="I85" i="18"/>
  <c r="J85" i="18" s="1"/>
  <c r="L85" i="18" s="1"/>
  <c r="I48" i="18"/>
  <c r="J48" i="18" s="1"/>
  <c r="L48" i="18" s="1"/>
  <c r="I125" i="18"/>
  <c r="J125" i="18" s="1"/>
  <c r="L125" i="18" s="1"/>
  <c r="I49" i="18"/>
  <c r="J49" i="18" s="1"/>
  <c r="L49" i="18" s="1"/>
  <c r="I94" i="18"/>
  <c r="J94" i="18" s="1"/>
  <c r="L94" i="18" s="1"/>
  <c r="I165" i="18"/>
  <c r="J165" i="18" s="1"/>
  <c r="L165" i="18" s="1"/>
  <c r="I171" i="18"/>
  <c r="J171" i="18" s="1"/>
  <c r="L171" i="18" s="1"/>
  <c r="I80" i="18"/>
  <c r="J80" i="18" s="1"/>
  <c r="L80" i="18" s="1"/>
  <c r="I182" i="18"/>
  <c r="J182" i="18" s="1"/>
  <c r="L182" i="18" s="1"/>
  <c r="I98" i="18"/>
  <c r="J98" i="18" s="1"/>
  <c r="L98" i="18" s="1"/>
  <c r="I203" i="18"/>
  <c r="J203" i="18" s="1"/>
  <c r="L203" i="18" s="1"/>
  <c r="I117" i="18"/>
  <c r="J117" i="18" s="1"/>
  <c r="L117" i="18" s="1"/>
  <c r="I95" i="18"/>
  <c r="J95" i="18" s="1"/>
  <c r="L95" i="18" s="1"/>
  <c r="I169" i="18"/>
  <c r="J169" i="18" s="1"/>
  <c r="L169" i="18" s="1"/>
  <c r="I23" i="18"/>
  <c r="J23" i="18" s="1"/>
  <c r="L23" i="18" s="1"/>
  <c r="I41" i="18"/>
  <c r="J41" i="18" s="1"/>
  <c r="L41" i="18" s="1"/>
  <c r="I52" i="18"/>
  <c r="J52" i="18" s="1"/>
  <c r="L52" i="18" s="1"/>
  <c r="I96" i="18"/>
  <c r="J96" i="18" s="1"/>
  <c r="L96" i="18" s="1"/>
  <c r="I53" i="18"/>
  <c r="J53" i="18" s="1"/>
  <c r="L53" i="18" s="1"/>
  <c r="I190" i="18"/>
  <c r="J190" i="18" s="1"/>
  <c r="L190" i="18" s="1"/>
  <c r="I150" i="18"/>
  <c r="J150" i="18" s="1"/>
  <c r="L150" i="18" s="1"/>
  <c r="I26" i="18"/>
  <c r="J26" i="18" s="1"/>
  <c r="L26" i="18" s="1"/>
  <c r="I59" i="18"/>
  <c r="J59" i="18" s="1"/>
  <c r="L59" i="18" s="1"/>
  <c r="I145" i="18"/>
  <c r="J145" i="18" s="1"/>
  <c r="L145" i="18" s="1"/>
  <c r="I118" i="18"/>
  <c r="J118" i="18" s="1"/>
  <c r="L118" i="18" s="1"/>
  <c r="I68" i="18"/>
  <c r="J68" i="18" s="1"/>
  <c r="L68" i="18" s="1"/>
  <c r="I30" i="18"/>
  <c r="J30" i="18" s="1"/>
  <c r="L30" i="18" s="1"/>
  <c r="I135" i="18"/>
  <c r="J135" i="18" s="1"/>
  <c r="L135" i="18" s="1"/>
  <c r="I201" i="18"/>
  <c r="J201" i="18" s="1"/>
  <c r="L201" i="18" s="1"/>
  <c r="I143" i="18"/>
  <c r="J143" i="18" s="1"/>
  <c r="L143" i="18" s="1"/>
  <c r="I146" i="18"/>
  <c r="J146" i="18" s="1"/>
  <c r="L146" i="18" s="1"/>
  <c r="I156" i="18"/>
  <c r="J156" i="18" s="1"/>
  <c r="L156" i="18" s="1"/>
  <c r="I174" i="18"/>
  <c r="J174" i="18" s="1"/>
  <c r="L174" i="18" s="1"/>
  <c r="I93" i="18"/>
  <c r="J93" i="18" s="1"/>
  <c r="L93" i="18" s="1"/>
  <c r="I163" i="18"/>
  <c r="J163" i="18" s="1"/>
  <c r="L163" i="18" s="1"/>
  <c r="I115" i="18"/>
  <c r="J115" i="18" s="1"/>
  <c r="L115" i="18" s="1"/>
  <c r="I27" i="18"/>
  <c r="J27" i="18" s="1"/>
  <c r="L27" i="18" s="1"/>
  <c r="I38" i="18"/>
  <c r="J38" i="18" s="1"/>
  <c r="L38" i="18" s="1"/>
  <c r="I133" i="18"/>
  <c r="J133" i="18" s="1"/>
  <c r="L133" i="18" s="1"/>
  <c r="I90" i="18"/>
  <c r="J90" i="18" s="1"/>
  <c r="L90" i="18" s="1"/>
  <c r="I158" i="18"/>
  <c r="J158" i="18" s="1"/>
  <c r="L158" i="18" s="1"/>
  <c r="I170" i="18"/>
  <c r="J170" i="18" s="1"/>
  <c r="L170" i="18" s="1"/>
  <c r="I137" i="18"/>
  <c r="J137" i="18" s="1"/>
  <c r="L137" i="18" s="1"/>
  <c r="I207" i="18"/>
  <c r="J207" i="18" s="1"/>
  <c r="L207" i="18" s="1"/>
  <c r="I57" i="18"/>
  <c r="J57" i="18" s="1"/>
  <c r="L57" i="18" s="1"/>
  <c r="I76" i="18"/>
  <c r="J76" i="18" s="1"/>
  <c r="L76" i="18" s="1"/>
  <c r="I152" i="18"/>
  <c r="J152" i="18" s="1"/>
  <c r="L152" i="18" s="1"/>
  <c r="I161" i="18"/>
  <c r="J161" i="18" s="1"/>
  <c r="L161" i="18" s="1"/>
  <c r="I100" i="18"/>
  <c r="J100" i="18" s="1"/>
  <c r="L100" i="18" s="1"/>
  <c r="I92" i="18"/>
  <c r="J92" i="18" s="1"/>
  <c r="L92" i="18" s="1"/>
  <c r="I185" i="18"/>
  <c r="J185" i="18" s="1"/>
  <c r="L185" i="18" s="1"/>
  <c r="I121" i="18"/>
  <c r="J121" i="18" s="1"/>
  <c r="L121" i="18" s="1"/>
  <c r="I74" i="18"/>
  <c r="J74" i="18" s="1"/>
  <c r="L74" i="18" s="1"/>
  <c r="I65" i="18"/>
  <c r="J65" i="18" s="1"/>
  <c r="L65" i="18" s="1"/>
  <c r="I55" i="18"/>
  <c r="J55" i="18" s="1"/>
  <c r="L55" i="18" s="1"/>
  <c r="I208" i="18"/>
  <c r="J208" i="18" s="1"/>
  <c r="L208" i="18" s="1"/>
  <c r="I89" i="18"/>
  <c r="J89" i="18" s="1"/>
  <c r="L89" i="18" s="1"/>
  <c r="I73" i="18"/>
  <c r="J73" i="18" s="1"/>
  <c r="L73" i="18" s="1"/>
  <c r="I211" i="18"/>
  <c r="J211" i="18" s="1"/>
  <c r="L211" i="18" s="1"/>
  <c r="I129" i="18"/>
  <c r="J129" i="18" s="1"/>
  <c r="L129" i="18" s="1"/>
  <c r="I62" i="18"/>
  <c r="J62" i="18" s="1"/>
  <c r="L62" i="18" s="1"/>
  <c r="I139" i="18"/>
  <c r="J139" i="18" s="1"/>
  <c r="L139" i="18" s="1"/>
  <c r="I177" i="18"/>
  <c r="J177" i="18" s="1"/>
  <c r="L177" i="18" s="1"/>
  <c r="I189" i="18"/>
  <c r="J189" i="18" s="1"/>
  <c r="L189" i="18" s="1"/>
  <c r="I86" i="18"/>
  <c r="J86" i="18" s="1"/>
  <c r="L86" i="18" s="1"/>
  <c r="I71" i="18"/>
  <c r="J71" i="18" s="1"/>
  <c r="L71" i="18" s="1"/>
  <c r="I51" i="18"/>
  <c r="J51" i="18" s="1"/>
  <c r="L51" i="18" s="1"/>
  <c r="I181" i="18"/>
  <c r="J181" i="18" s="1"/>
  <c r="L181" i="18" s="1"/>
  <c r="L56" i="18" l="1"/>
  <c r="J13" i="18"/>
  <c r="J212" i="18"/>
  <c r="J14" i="18"/>
  <c r="L20" i="18"/>
  <c r="L13" i="18" l="1"/>
  <c r="L212" i="18"/>
  <c r="L14" i="18"/>
  <c r="M20" i="18" l="1"/>
  <c r="M78" i="18"/>
  <c r="N78" i="18" s="1"/>
  <c r="R78" i="18" s="1"/>
  <c r="M27" i="18"/>
  <c r="N27" i="18" s="1"/>
  <c r="R27" i="18" s="1"/>
  <c r="M68" i="18"/>
  <c r="N68" i="18" s="1"/>
  <c r="R68" i="18" s="1"/>
  <c r="M65" i="18"/>
  <c r="N65" i="18" s="1"/>
  <c r="R65" i="18" s="1"/>
  <c r="M210" i="18"/>
  <c r="N210" i="18" s="1"/>
  <c r="R210" i="18" s="1"/>
  <c r="M123" i="18"/>
  <c r="N123" i="18" s="1"/>
  <c r="R123" i="18" s="1"/>
  <c r="M117" i="18"/>
  <c r="N117" i="18" s="1"/>
  <c r="R117" i="18" s="1"/>
  <c r="M59" i="18"/>
  <c r="N59" i="18" s="1"/>
  <c r="R59" i="18" s="1"/>
  <c r="M170" i="18"/>
  <c r="N170" i="18" s="1"/>
  <c r="R170" i="18" s="1"/>
  <c r="M21" i="18"/>
  <c r="N21" i="18" s="1"/>
  <c r="R21" i="18" s="1"/>
  <c r="M54" i="18"/>
  <c r="N54" i="18" s="1"/>
  <c r="R54" i="18" s="1"/>
  <c r="M130" i="18"/>
  <c r="N130" i="18" s="1"/>
  <c r="R130" i="18" s="1"/>
  <c r="M121" i="18"/>
  <c r="N121" i="18" s="1"/>
  <c r="R121" i="18" s="1"/>
  <c r="M71" i="18"/>
  <c r="N71" i="18" s="1"/>
  <c r="R71" i="18" s="1"/>
  <c r="M180" i="18"/>
  <c r="N180" i="18" s="1"/>
  <c r="R180" i="18" s="1"/>
  <c r="M129" i="18"/>
  <c r="N129" i="18" s="1"/>
  <c r="R129" i="18" s="1"/>
  <c r="M176" i="18"/>
  <c r="N176" i="18" s="1"/>
  <c r="R176" i="18" s="1"/>
  <c r="M82" i="18"/>
  <c r="N82" i="18" s="1"/>
  <c r="R82" i="18" s="1"/>
  <c r="M131" i="18"/>
  <c r="N131" i="18" s="1"/>
  <c r="R131" i="18" s="1"/>
  <c r="M204" i="18"/>
  <c r="N204" i="18" s="1"/>
  <c r="R204" i="18" s="1"/>
  <c r="M189" i="18"/>
  <c r="N189" i="18" s="1"/>
  <c r="R189" i="18" s="1"/>
  <c r="M107" i="18"/>
  <c r="N107" i="18" s="1"/>
  <c r="R107" i="18" s="1"/>
  <c r="M76" i="18"/>
  <c r="N76" i="18" s="1"/>
  <c r="R76" i="18" s="1"/>
  <c r="M209" i="18"/>
  <c r="N209" i="18" s="1"/>
  <c r="R209" i="18" s="1"/>
  <c r="M147" i="18"/>
  <c r="N147" i="18" s="1"/>
  <c r="R147" i="18" s="1"/>
  <c r="M66" i="18"/>
  <c r="N66" i="18" s="1"/>
  <c r="R66" i="18" s="1"/>
  <c r="M101" i="18"/>
  <c r="N101" i="18" s="1"/>
  <c r="R101" i="18" s="1"/>
  <c r="M118" i="18"/>
  <c r="N118" i="18" s="1"/>
  <c r="R118" i="18" s="1"/>
  <c r="M110" i="18"/>
  <c r="N110" i="18" s="1"/>
  <c r="R110" i="18" s="1"/>
  <c r="M75" i="18"/>
  <c r="N75" i="18" s="1"/>
  <c r="R75" i="18" s="1"/>
  <c r="M175" i="18"/>
  <c r="N175" i="18" s="1"/>
  <c r="R175" i="18" s="1"/>
  <c r="M171" i="18"/>
  <c r="N171" i="18" s="1"/>
  <c r="R171" i="18" s="1"/>
  <c r="M97" i="18"/>
  <c r="N97" i="18" s="1"/>
  <c r="R97" i="18" s="1"/>
  <c r="M183" i="18"/>
  <c r="N183" i="18" s="1"/>
  <c r="R183" i="18" s="1"/>
  <c r="M42" i="18"/>
  <c r="N42" i="18" s="1"/>
  <c r="R42" i="18" s="1"/>
  <c r="M128" i="18"/>
  <c r="N128" i="18" s="1"/>
  <c r="R128" i="18" s="1"/>
  <c r="M95" i="18"/>
  <c r="N95" i="18" s="1"/>
  <c r="R95" i="18" s="1"/>
  <c r="M203" i="18"/>
  <c r="N203" i="18" s="1"/>
  <c r="R203" i="18" s="1"/>
  <c r="M94" i="18"/>
  <c r="N94" i="18" s="1"/>
  <c r="R94" i="18" s="1"/>
  <c r="M90" i="18"/>
  <c r="N90" i="18" s="1"/>
  <c r="R90" i="18" s="1"/>
  <c r="M36" i="18"/>
  <c r="N36" i="18" s="1"/>
  <c r="R36" i="18" s="1"/>
  <c r="M84" i="18"/>
  <c r="N84" i="18" s="1"/>
  <c r="R84" i="18" s="1"/>
  <c r="M22" i="18"/>
  <c r="N22" i="18" s="1"/>
  <c r="R22" i="18" s="1"/>
  <c r="M23" i="18"/>
  <c r="N23" i="18" s="1"/>
  <c r="R23" i="18" s="1"/>
  <c r="M207" i="18"/>
  <c r="N207" i="18" s="1"/>
  <c r="R207" i="18" s="1"/>
  <c r="M48" i="18"/>
  <c r="N48" i="18" s="1"/>
  <c r="R48" i="18" s="1"/>
  <c r="M185" i="18"/>
  <c r="N185" i="18" s="1"/>
  <c r="R185" i="18" s="1"/>
  <c r="M153" i="18"/>
  <c r="N153" i="18" s="1"/>
  <c r="R153" i="18" s="1"/>
  <c r="M119" i="18"/>
  <c r="N119" i="18" s="1"/>
  <c r="R119" i="18" s="1"/>
  <c r="M193" i="18"/>
  <c r="N193" i="18" s="1"/>
  <c r="R193" i="18" s="1"/>
  <c r="M28" i="18"/>
  <c r="N28" i="18" s="1"/>
  <c r="R28" i="18" s="1"/>
  <c r="M102" i="18"/>
  <c r="N102" i="18" s="1"/>
  <c r="R102" i="18" s="1"/>
  <c r="M150" i="18"/>
  <c r="N150" i="18" s="1"/>
  <c r="R150" i="18" s="1"/>
  <c r="M31" i="18"/>
  <c r="N31" i="18" s="1"/>
  <c r="R31" i="18" s="1"/>
  <c r="M39" i="18"/>
  <c r="N39" i="18" s="1"/>
  <c r="R39" i="18" s="1"/>
  <c r="M165" i="18"/>
  <c r="N165" i="18" s="1"/>
  <c r="R165" i="18" s="1"/>
  <c r="M158" i="18"/>
  <c r="N158" i="18" s="1"/>
  <c r="R158" i="18" s="1"/>
  <c r="M178" i="18"/>
  <c r="N178" i="18" s="1"/>
  <c r="R178" i="18" s="1"/>
  <c r="M196" i="18"/>
  <c r="N196" i="18" s="1"/>
  <c r="R196" i="18" s="1"/>
  <c r="M70" i="18"/>
  <c r="N70" i="18" s="1"/>
  <c r="R70" i="18" s="1"/>
  <c r="M182" i="18"/>
  <c r="N182" i="18" s="1"/>
  <c r="R182" i="18" s="1"/>
  <c r="M159" i="18"/>
  <c r="N159" i="18" s="1"/>
  <c r="R159" i="18" s="1"/>
  <c r="M72" i="18"/>
  <c r="N72" i="18" s="1"/>
  <c r="R72" i="18" s="1"/>
  <c r="M149" i="18"/>
  <c r="N149" i="18" s="1"/>
  <c r="R149" i="18" s="1"/>
  <c r="M116" i="18"/>
  <c r="N116" i="18" s="1"/>
  <c r="R116" i="18" s="1"/>
  <c r="M143" i="18"/>
  <c r="N143" i="18" s="1"/>
  <c r="R143" i="18" s="1"/>
  <c r="M157" i="18"/>
  <c r="N157" i="18" s="1"/>
  <c r="R157" i="18" s="1"/>
  <c r="M174" i="18"/>
  <c r="N174" i="18" s="1"/>
  <c r="R174" i="18" s="1"/>
  <c r="M160" i="18"/>
  <c r="N160" i="18" s="1"/>
  <c r="R160" i="18" s="1"/>
  <c r="M202" i="18"/>
  <c r="N202" i="18" s="1"/>
  <c r="R202" i="18" s="1"/>
  <c r="M33" i="18"/>
  <c r="N33" i="18" s="1"/>
  <c r="R33" i="18" s="1"/>
  <c r="M169" i="18"/>
  <c r="N169" i="18" s="1"/>
  <c r="R169" i="18" s="1"/>
  <c r="M151" i="18"/>
  <c r="N151" i="18" s="1"/>
  <c r="R151" i="18" s="1"/>
  <c r="M188" i="18"/>
  <c r="N188" i="18" s="1"/>
  <c r="R188" i="18" s="1"/>
  <c r="M208" i="18"/>
  <c r="N208" i="18" s="1"/>
  <c r="R208" i="18" s="1"/>
  <c r="M115" i="18"/>
  <c r="N115" i="18" s="1"/>
  <c r="R115" i="18" s="1"/>
  <c r="M96" i="18"/>
  <c r="N96" i="18" s="1"/>
  <c r="R96" i="18" s="1"/>
  <c r="M50" i="18"/>
  <c r="N50" i="18" s="1"/>
  <c r="R50" i="18" s="1"/>
  <c r="M198" i="18"/>
  <c r="N198" i="18" s="1"/>
  <c r="R198" i="18" s="1"/>
  <c r="M113" i="18"/>
  <c r="N113" i="18" s="1"/>
  <c r="R113" i="18" s="1"/>
  <c r="M136" i="18"/>
  <c r="N136" i="18" s="1"/>
  <c r="R136" i="18" s="1"/>
  <c r="M103" i="18"/>
  <c r="N103" i="18" s="1"/>
  <c r="R103" i="18" s="1"/>
  <c r="M63" i="18"/>
  <c r="N63" i="18" s="1"/>
  <c r="R63" i="18" s="1"/>
  <c r="M186" i="18"/>
  <c r="N186" i="18" s="1"/>
  <c r="R186" i="18" s="1"/>
  <c r="M138" i="18"/>
  <c r="N138" i="18" s="1"/>
  <c r="R138" i="18" s="1"/>
  <c r="M100" i="18"/>
  <c r="N100" i="18" s="1"/>
  <c r="R100" i="18" s="1"/>
  <c r="M126" i="18"/>
  <c r="N126" i="18" s="1"/>
  <c r="R126" i="18" s="1"/>
  <c r="M29" i="18"/>
  <c r="N29" i="18" s="1"/>
  <c r="R29" i="18" s="1"/>
  <c r="M145" i="18"/>
  <c r="N145" i="18" s="1"/>
  <c r="R145" i="18" s="1"/>
  <c r="M92" i="18"/>
  <c r="N92" i="18" s="1"/>
  <c r="R92" i="18" s="1"/>
  <c r="M161" i="18"/>
  <c r="N161" i="18" s="1"/>
  <c r="R161" i="18" s="1"/>
  <c r="M167" i="18"/>
  <c r="N167" i="18" s="1"/>
  <c r="R167" i="18" s="1"/>
  <c r="M105" i="18"/>
  <c r="N105" i="18" s="1"/>
  <c r="R105" i="18" s="1"/>
  <c r="M91" i="18"/>
  <c r="N91" i="18" s="1"/>
  <c r="R91" i="18" s="1"/>
  <c r="M112" i="18"/>
  <c r="N112" i="18" s="1"/>
  <c r="R112" i="18" s="1"/>
  <c r="M199" i="18"/>
  <c r="N199" i="18" s="1"/>
  <c r="R199" i="18" s="1"/>
  <c r="M163" i="18"/>
  <c r="N163" i="18" s="1"/>
  <c r="R163" i="18" s="1"/>
  <c r="M124" i="18"/>
  <c r="N124" i="18" s="1"/>
  <c r="R124" i="18" s="1"/>
  <c r="M80" i="18"/>
  <c r="N80" i="18" s="1"/>
  <c r="R80" i="18" s="1"/>
  <c r="M41" i="18"/>
  <c r="N41" i="18" s="1"/>
  <c r="R41" i="18" s="1"/>
  <c r="M67" i="18"/>
  <c r="N67" i="18" s="1"/>
  <c r="R67" i="18" s="1"/>
  <c r="M144" i="18"/>
  <c r="N144" i="18" s="1"/>
  <c r="R144" i="18" s="1"/>
  <c r="M173" i="18"/>
  <c r="N173" i="18" s="1"/>
  <c r="R173" i="18" s="1"/>
  <c r="M192" i="18"/>
  <c r="N192" i="18" s="1"/>
  <c r="R192" i="18" s="1"/>
  <c r="M98" i="18"/>
  <c r="N98" i="18" s="1"/>
  <c r="R98" i="18" s="1"/>
  <c r="M120" i="18"/>
  <c r="N120" i="18" s="1"/>
  <c r="R120" i="18" s="1"/>
  <c r="M172" i="18"/>
  <c r="N172" i="18" s="1"/>
  <c r="R172" i="18" s="1"/>
  <c r="M166" i="18"/>
  <c r="N166" i="18" s="1"/>
  <c r="R166" i="18" s="1"/>
  <c r="M194" i="18"/>
  <c r="N194" i="18" s="1"/>
  <c r="R194" i="18" s="1"/>
  <c r="M111" i="18"/>
  <c r="N111" i="18" s="1"/>
  <c r="R111" i="18" s="1"/>
  <c r="M58" i="18"/>
  <c r="N58" i="18" s="1"/>
  <c r="R58" i="18" s="1"/>
  <c r="M177" i="18"/>
  <c r="N177" i="18" s="1"/>
  <c r="R177" i="18" s="1"/>
  <c r="M34" i="18"/>
  <c r="N34" i="18" s="1"/>
  <c r="R34" i="18" s="1"/>
  <c r="M187" i="18"/>
  <c r="N187" i="18" s="1"/>
  <c r="R187" i="18" s="1"/>
  <c r="M38" i="18"/>
  <c r="N38" i="18" s="1"/>
  <c r="R38" i="18" s="1"/>
  <c r="M69" i="18"/>
  <c r="N69" i="18" s="1"/>
  <c r="R69" i="18" s="1"/>
  <c r="M211" i="18"/>
  <c r="N211" i="18" s="1"/>
  <c r="R211" i="18" s="1"/>
  <c r="M51" i="18"/>
  <c r="N51" i="18" s="1"/>
  <c r="R51" i="18" s="1"/>
  <c r="M148" i="18"/>
  <c r="N148" i="18" s="1"/>
  <c r="R148" i="18" s="1"/>
  <c r="M127" i="18"/>
  <c r="N127" i="18" s="1"/>
  <c r="R127" i="18" s="1"/>
  <c r="M200" i="18"/>
  <c r="N200" i="18" s="1"/>
  <c r="R200" i="18" s="1"/>
  <c r="M64" i="18"/>
  <c r="N64" i="18" s="1"/>
  <c r="R64" i="18" s="1"/>
  <c r="M55" i="18"/>
  <c r="N55" i="18" s="1"/>
  <c r="R55" i="18" s="1"/>
  <c r="M37" i="18"/>
  <c r="N37" i="18" s="1"/>
  <c r="R37" i="18" s="1"/>
  <c r="M81" i="18"/>
  <c r="N81" i="18" s="1"/>
  <c r="R81" i="18" s="1"/>
  <c r="M40" i="18"/>
  <c r="N40" i="18" s="1"/>
  <c r="R40" i="18" s="1"/>
  <c r="M133" i="18"/>
  <c r="N133" i="18" s="1"/>
  <c r="R133" i="18" s="1"/>
  <c r="M83" i="18"/>
  <c r="N83" i="18" s="1"/>
  <c r="R83" i="18" s="1"/>
  <c r="M184" i="18"/>
  <c r="N184" i="18" s="1"/>
  <c r="R184" i="18" s="1"/>
  <c r="M56" i="18"/>
  <c r="M99" i="18"/>
  <c r="N99" i="18" s="1"/>
  <c r="R99" i="18" s="1"/>
  <c r="M26" i="18"/>
  <c r="N26" i="18" s="1"/>
  <c r="R26" i="18" s="1"/>
  <c r="M197" i="18"/>
  <c r="N197" i="18" s="1"/>
  <c r="R197" i="18" s="1"/>
  <c r="M74" i="18"/>
  <c r="N74" i="18" s="1"/>
  <c r="R74" i="18" s="1"/>
  <c r="M86" i="18"/>
  <c r="N86" i="18" s="1"/>
  <c r="R86" i="18" s="1"/>
  <c r="M57" i="18"/>
  <c r="N57" i="18" s="1"/>
  <c r="R57" i="18" s="1"/>
  <c r="M206" i="18"/>
  <c r="N206" i="18" s="1"/>
  <c r="R206" i="18" s="1"/>
  <c r="M122" i="18"/>
  <c r="N122" i="18" s="1"/>
  <c r="R122" i="18" s="1"/>
  <c r="M106" i="18"/>
  <c r="N106" i="18" s="1"/>
  <c r="R106" i="18" s="1"/>
  <c r="M146" i="18"/>
  <c r="N146" i="18" s="1"/>
  <c r="R146" i="18" s="1"/>
  <c r="M30" i="18"/>
  <c r="N30" i="18" s="1"/>
  <c r="R30" i="18" s="1"/>
  <c r="M195" i="18"/>
  <c r="N195" i="18" s="1"/>
  <c r="R195" i="18" s="1"/>
  <c r="M44" i="18"/>
  <c r="N44" i="18" s="1"/>
  <c r="R44" i="18" s="1"/>
  <c r="M109" i="18"/>
  <c r="N109" i="18" s="1"/>
  <c r="R109" i="18" s="1"/>
  <c r="M104" i="18"/>
  <c r="N104" i="18" s="1"/>
  <c r="R104" i="18" s="1"/>
  <c r="M73" i="18"/>
  <c r="N73" i="18" s="1"/>
  <c r="R73" i="18" s="1"/>
  <c r="M141" i="18"/>
  <c r="N141" i="18" s="1"/>
  <c r="R141" i="18" s="1"/>
  <c r="M179" i="18"/>
  <c r="N179" i="18" s="1"/>
  <c r="R179" i="18" s="1"/>
  <c r="M43" i="18"/>
  <c r="N43" i="18" s="1"/>
  <c r="R43" i="18" s="1"/>
  <c r="M49" i="18"/>
  <c r="N49" i="18" s="1"/>
  <c r="R49" i="18" s="1"/>
  <c r="M93" i="18"/>
  <c r="N93" i="18" s="1"/>
  <c r="R93" i="18" s="1"/>
  <c r="M191" i="18"/>
  <c r="N191" i="18" s="1"/>
  <c r="R191" i="18" s="1"/>
  <c r="M168" i="18"/>
  <c r="N168" i="18" s="1"/>
  <c r="R168" i="18" s="1"/>
  <c r="M137" i="18"/>
  <c r="N137" i="18" s="1"/>
  <c r="R137" i="18" s="1"/>
  <c r="M132" i="18"/>
  <c r="N132" i="18" s="1"/>
  <c r="R132" i="18" s="1"/>
  <c r="M152" i="18"/>
  <c r="N152" i="18" s="1"/>
  <c r="R152" i="18" s="1"/>
  <c r="M139" i="18"/>
  <c r="N139" i="18" s="1"/>
  <c r="R139" i="18" s="1"/>
  <c r="M205" i="18"/>
  <c r="N205" i="18" s="1"/>
  <c r="R205" i="18" s="1"/>
  <c r="M47" i="18"/>
  <c r="N47" i="18" s="1"/>
  <c r="R47" i="18" s="1"/>
  <c r="M164" i="18"/>
  <c r="N164" i="18" s="1"/>
  <c r="R164" i="18" s="1"/>
  <c r="M156" i="18"/>
  <c r="N156" i="18" s="1"/>
  <c r="R156" i="18" s="1"/>
  <c r="M162" i="18"/>
  <c r="N162" i="18" s="1"/>
  <c r="R162" i="18" s="1"/>
  <c r="M181" i="18"/>
  <c r="N181" i="18" s="1"/>
  <c r="R181" i="18" s="1"/>
  <c r="M60" i="18"/>
  <c r="N60" i="18" s="1"/>
  <c r="R60" i="18" s="1"/>
  <c r="M25" i="18"/>
  <c r="N25" i="18" s="1"/>
  <c r="R25" i="18" s="1"/>
  <c r="M154" i="18"/>
  <c r="N154" i="18" s="1"/>
  <c r="R154" i="18" s="1"/>
  <c r="M24" i="18"/>
  <c r="N24" i="18" s="1"/>
  <c r="R24" i="18" s="1"/>
  <c r="M62" i="18"/>
  <c r="N62" i="18" s="1"/>
  <c r="R62" i="18" s="1"/>
  <c r="M79" i="18"/>
  <c r="N79" i="18" s="1"/>
  <c r="R79" i="18" s="1"/>
  <c r="M135" i="18"/>
  <c r="N135" i="18" s="1"/>
  <c r="R135" i="18" s="1"/>
  <c r="M88" i="18"/>
  <c r="N88" i="18" s="1"/>
  <c r="R88" i="18" s="1"/>
  <c r="M52" i="18"/>
  <c r="N52" i="18" s="1"/>
  <c r="R52" i="18" s="1"/>
  <c r="M89" i="18"/>
  <c r="N89" i="18" s="1"/>
  <c r="R89" i="18" s="1"/>
  <c r="M140" i="18"/>
  <c r="N140" i="18" s="1"/>
  <c r="R140" i="18" s="1"/>
  <c r="M87" i="18"/>
  <c r="N87" i="18" s="1"/>
  <c r="R87" i="18" s="1"/>
  <c r="M35" i="18"/>
  <c r="N35" i="18" s="1"/>
  <c r="R35" i="18" s="1"/>
  <c r="M61" i="18"/>
  <c r="N61" i="18" s="1"/>
  <c r="R61" i="18" s="1"/>
  <c r="M53" i="18"/>
  <c r="N53" i="18" s="1"/>
  <c r="R53" i="18" s="1"/>
  <c r="M46" i="18"/>
  <c r="N46" i="18" s="1"/>
  <c r="R46" i="18" s="1"/>
  <c r="M201" i="18"/>
  <c r="N201" i="18" s="1"/>
  <c r="R201" i="18" s="1"/>
  <c r="M155" i="18"/>
  <c r="N155" i="18" s="1"/>
  <c r="R155" i="18" s="1"/>
  <c r="M125" i="18"/>
  <c r="N125" i="18" s="1"/>
  <c r="R125" i="18" s="1"/>
  <c r="M142" i="18"/>
  <c r="N142" i="18" s="1"/>
  <c r="R142" i="18" s="1"/>
  <c r="M114" i="18"/>
  <c r="N114" i="18" s="1"/>
  <c r="R114" i="18" s="1"/>
  <c r="M134" i="18"/>
  <c r="N134" i="18" s="1"/>
  <c r="R134" i="18" s="1"/>
  <c r="M85" i="18"/>
  <c r="N85" i="18" s="1"/>
  <c r="R85" i="18" s="1"/>
  <c r="M32" i="18"/>
  <c r="N32" i="18" s="1"/>
  <c r="R32" i="18" s="1"/>
  <c r="M108" i="18"/>
  <c r="N108" i="18" s="1"/>
  <c r="R108" i="18" s="1"/>
  <c r="M45" i="18"/>
  <c r="N45" i="18" s="1"/>
  <c r="R45" i="18" s="1"/>
  <c r="M77" i="18"/>
  <c r="N77" i="18" s="1"/>
  <c r="R77" i="18" s="1"/>
  <c r="M190" i="18"/>
  <c r="N190" i="18" s="1"/>
  <c r="R190" i="18" s="1"/>
  <c r="M13" i="18" l="1"/>
  <c r="N56" i="18"/>
  <c r="M212" i="18"/>
  <c r="N20" i="18"/>
  <c r="R20" i="18" l="1"/>
  <c r="N14" i="18"/>
  <c r="N13" i="18"/>
  <c r="R56" i="18"/>
  <c r="R13" i="18" s="1"/>
  <c r="R212" i="18" l="1"/>
  <c r="R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(projected)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(projected)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<sst xmlns="http://schemas.openxmlformats.org/spreadsheetml/2006/main" count="443" uniqueCount="107">
  <si>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</si>
  <si>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</si>
  <si>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</si>
  <si>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</si>
  <si>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</si>
  <si>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</si>
  <si>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</si>
  <si>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</si>
  <si>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</si>
  <si>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</si>
  <si>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</si>
  <si>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</si>
  <si>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</si>
  <si>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</si>
  <si>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</si>
  <si>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</si>
  <si>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</si>
  <si>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</si>
  <si>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</si>
  <si>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</si>
  <si>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</si>
  <si>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</si>
  <si>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</si>
  <si>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</si>
  <si>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</si>
  <si>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</si>
  <si>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</si>
  <si>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</si>
  <si>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</si>
  <si>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</si>
  <si>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</si>
  <si>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</si>
  <si>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</si>
  <si>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</si>
  <si>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</si>
  <si>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</si>
  <si>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Network Customer True-Up (Schedule 9 charges)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</si>
  <si>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</si>
  <si>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</si>
  <si>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</si>
  <si>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</si>
  <si>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True-Up
(</t>
    </r>
    <r>
      <rPr>
        <sz val="10"/>
        <rFont val="Arial"/>
        <family val="2"/>
      </rPr>
      <t>w/o Interest)</t>
    </r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</si>
  <si>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</si>
  <si>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</si>
  <si>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</si>
  <si>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</si>
  <si>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Total
True-Up Surcharge / (Refund)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</si>
  <si>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</si>
  <si>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</si>
  <si>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</si>
  <si>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</si>
  <si>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</si>
  <si>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</si>
  <si>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</si>
  <si>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</si>
  <si>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</si>
  <si>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</si>
  <si>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</si>
  <si>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</si>
  <si>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</si>
  <si>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</si>
  <si>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</si>
  <si>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</si>
  <si>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</si>
  <si>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</si>
  <si>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</si>
  <si>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</si>
  <si>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</si>
  <si>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</si>
  <si>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</si>
  <si>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</si>
  <si>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</si>
  <si>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</si>
  <si>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</si>
  <si>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</si>
  <si>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</si>
  <si>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</si>
  <si>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</si>
  <si>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</si>
  <si>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</si>
  <si>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</si>
  <si>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</si>
  <si>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</si>
  <si>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</si>
  <si>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</si>
  <si>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</si>
  <si>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</si>
  <si>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</si>
  <si>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</si>
  <si>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</si>
  <si>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</si>
  <si>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</si>
  <si>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</si>
  <si>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</si>
  <si>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</si>
  <si>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</si>
  <si>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AEP SOUTHWESTERN TRANSMISSION</t>
  </si>
  <si>
    <t xml:space="preserve">    &lt;&lt; SOUTHWESTERN TRANSMISSION COMPANY &gt;&gt;</t>
  </si>
  <si>
    <t>AEPTCo Formula Rate -- FERC Docket ER18-194</t>
  </si>
  <si>
    <t>Total</t>
  </si>
  <si>
    <t>OKT</t>
  </si>
  <si>
    <t>SWT</t>
  </si>
  <si>
    <t>2023 True Up Including Interest</t>
  </si>
  <si>
    <t>2025</t>
  </si>
  <si>
    <t>2025 NOLC Refund Amount with Interest (NITS)</t>
  </si>
  <si>
    <t>2021 Load Share</t>
  </si>
  <si>
    <t>2025 NOLC FERC Order Refund with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</si>
</sst>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6" xfId="2" applyNumberFormat="1" applyFont="1" applyBorder="1" applyProtection="1"/>
    <xf numFmtId="165" fontId="0" fillId="0" borderId="17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18" xfId="0" applyBorder="1"/>
    <xf numFmtId="0" fontId="9" fillId="3" borderId="19" xfId="0" quotePrefix="1" applyFont="1" applyFill="1" applyBorder="1" applyAlignment="1">
      <alignment horizontal="left" vertical="center" wrapText="1"/>
    </xf>
    <xf numFmtId="165" fontId="0" fillId="3" borderId="20" xfId="2" applyNumberFormat="1" applyFont="1" applyFill="1" applyBorder="1" applyAlignment="1" applyProtection="1">
      <alignment vertical="center"/>
    </xf>
    <xf numFmtId="165" fontId="0" fillId="3" borderId="21" xfId="2" applyNumberFormat="1" applyFont="1" applyFill="1" applyBorder="1" applyAlignment="1" applyProtection="1">
      <alignment vertical="center"/>
    </xf>
    <xf numFmtId="165" fontId="3" fillId="3" borderId="22" xfId="2" applyNumberFormat="1" applyFont="1" applyFill="1" applyBorder="1" applyAlignment="1" applyProtection="1">
      <alignment vertical="center"/>
    </xf>
    <xf numFmtId="0" fontId="0" fillId="0" borderId="23" xfId="0" quotePrefix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9" fillId="0" borderId="19" xfId="0" quotePrefix="1" applyFont="1" applyBorder="1" applyAlignment="1">
      <alignment horizontal="left" vertical="center" wrapText="1"/>
    </xf>
    <xf numFmtId="165" fontId="0" fillId="0" borderId="20" xfId="2" applyNumberFormat="1" applyFont="1" applyFill="1" applyBorder="1" applyAlignment="1" applyProtection="1">
      <alignment vertical="center"/>
    </xf>
    <xf numFmtId="165" fontId="0" fillId="0" borderId="21" xfId="2" applyNumberFormat="1" applyFont="1" applyFill="1" applyBorder="1" applyAlignment="1" applyProtection="1">
      <alignment vertical="center"/>
    </xf>
    <xf numFmtId="165" fontId="3" fillId="0" borderId="22" xfId="2" applyNumberFormat="1" applyFont="1" applyFill="1" applyBorder="1" applyAlignment="1" applyProtection="1">
      <alignment vertical="center"/>
    </xf>
    <xf numFmtId="0" fontId="9" fillId="0" borderId="5" xfId="0" quotePrefix="1" applyFont="1" applyBorder="1" applyAlignment="1">
      <alignment horizontal="center" vertical="center" wrapText="1"/>
    </xf>
    <xf numFmtId="165" fontId="0" fillId="0" borderId="26" xfId="2" applyNumberFormat="1" applyFont="1" applyBorder="1" applyAlignment="1" applyProtection="1">
      <alignment vertical="center"/>
    </xf>
    <xf numFmtId="165" fontId="0" fillId="0" borderId="27" xfId="2" applyNumberFormat="1" applyFont="1" applyBorder="1" applyAlignment="1" applyProtection="1">
      <alignment vertical="center"/>
    </xf>
    <xf numFmtId="165" fontId="0" fillId="0" borderId="28" xfId="2" applyNumberFormat="1" applyFont="1" applyBorder="1" applyAlignment="1" applyProtection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29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0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0" xfId="0" quotePrefix="1" applyBorder="1" applyAlignment="1">
      <alignment horizontal="right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3" fillId="0" borderId="31" xfId="0" applyNumberFormat="1" applyFont="1" applyBorder="1" applyAlignment="1">
      <alignment horizontal="right"/>
    </xf>
    <xf numFmtId="167" fontId="0" fillId="0" borderId="21" xfId="0" applyNumberFormat="1" applyBorder="1" applyAlignment="1">
      <alignment horizontal="center"/>
    </xf>
    <xf numFmtId="167" fontId="0" fillId="4" borderId="31" xfId="0" applyNumberFormat="1" applyFill="1" applyBorder="1" applyAlignment="1">
      <alignment horizontal="center"/>
    </xf>
    <xf numFmtId="167" fontId="0" fillId="0" borderId="3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5" xfId="0" applyNumberFormat="1" applyFont="1" applyBorder="1" applyAlignment="1">
      <alignment horizontal="right"/>
    </xf>
    <xf numFmtId="14" fontId="1" fillId="0" borderId="16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0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0" xfId="0" applyNumberFormat="1" applyFont="1" applyBorder="1" applyAlignment="1">
      <alignment horizontal="center"/>
    </xf>
    <xf numFmtId="14" fontId="0" fillId="0" borderId="16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0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3" xfId="0" quotePrefix="1" applyFont="1" applyBorder="1" applyAlignment="1">
      <alignment horizontal="center"/>
    </xf>
    <xf numFmtId="164" fontId="4" fillId="0" borderId="20" xfId="0" quotePrefix="1" applyNumberFormat="1" applyFont="1" applyBorder="1" applyAlignment="1">
      <alignment horizontal="center" vertical="center" wrapText="1"/>
    </xf>
    <xf numFmtId="0" fontId="4" fillId="0" borderId="21" xfId="0" quotePrefix="1" applyFont="1" applyBorder="1" applyAlignment="1">
      <alignment horizontal="center" vertical="center" wrapText="1"/>
    </xf>
    <xf numFmtId="164" fontId="4" fillId="5" borderId="21" xfId="0" quotePrefix="1" applyNumberFormat="1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24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4" xfId="0" applyNumberFormat="1" applyBorder="1" applyAlignment="1">
      <alignment horizontal="center"/>
    </xf>
    <xf numFmtId="14" fontId="1" fillId="0" borderId="34" xfId="0" applyNumberFormat="1" applyFont="1" applyBorder="1"/>
    <xf numFmtId="14" fontId="7" fillId="2" borderId="34" xfId="0" applyNumberFormat="1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14" fontId="1" fillId="0" borderId="0" xfId="0" applyNumberFormat="1" applyFont="1"/>
    <xf numFmtId="0" fontId="0" fillId="0" borderId="34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7" fontId="0" fillId="0" borderId="0" xfId="0" applyNumberFormat="1" applyAlignment="1">
      <alignment horizontal="center"/>
    </xf>
    <xf numFmtId="167" fontId="7" fillId="6" borderId="31" xfId="0" applyNumberFormat="1" applyFont="1" applyFill="1" applyBorder="1" applyAlignment="1">
      <alignment horizontal="center"/>
    </xf>
    <xf numFmtId="164" fontId="4" fillId="0" borderId="14" xfId="0" quotePrefix="1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left" vertical="center"/>
    </xf>
    <xf numFmtId="0" fontId="4" fillId="0" borderId="21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1" xfId="0" quotePrefix="1" applyNumberFormat="1" applyFont="1" applyBorder="1" applyAlignment="1">
      <alignment horizontal="center" vertical="center" wrapText="1"/>
    </xf>
    <xf numFmtId="0" fontId="1" fillId="0" borderId="0" xfId="5"/>
    <xf numFmtId="37" fontId="0" fillId="0" borderId="0" xfId="6" applyNumberFormat="1" applyFont="1"/>
    <xf numFmtId="37" fontId="1" fillId="0" borderId="0" xfId="5" applyNumberFormat="1"/>
    <xf numFmtId="0" fontId="1" fillId="0" borderId="35" xfId="5" applyBorder="1"/>
    <xf numFmtId="168" fontId="0" fillId="0" borderId="0" xfId="7" applyNumberFormat="1" applyFont="1" applyBorder="1" applyAlignment="1" applyProtection="1">
      <alignment horizontal="left"/>
    </xf>
    <xf numFmtId="0" fontId="1" fillId="0" borderId="36" xfId="5" quotePrefix="1" applyBorder="1" applyAlignment="1">
      <alignment horizontal="left"/>
    </xf>
    <xf numFmtId="168" fontId="0" fillId="0" borderId="0" xfId="7" quotePrefix="1" applyNumberFormat="1" applyFont="1" applyBorder="1" applyAlignment="1" applyProtection="1">
      <alignment horizontal="left"/>
    </xf>
    <xf numFmtId="0" fontId="1" fillId="0" borderId="36" xfId="5" applyBorder="1"/>
    <xf numFmtId="0" fontId="1" fillId="0" borderId="37" xfId="5" applyBorder="1"/>
    <xf numFmtId="0" fontId="9" fillId="3" borderId="38" xfId="5" quotePrefix="1" applyFont="1" applyFill="1" applyBorder="1" applyAlignment="1">
      <alignment horizontal="left" vertical="center" wrapText="1"/>
    </xf>
    <xf numFmtId="168" fontId="9" fillId="3" borderId="0" xfId="7" quotePrefix="1" applyNumberFormat="1" applyFont="1" applyFill="1" applyBorder="1" applyAlignment="1" applyProtection="1">
      <alignment horizontal="left" vertical="center" wrapText="1"/>
    </xf>
    <xf numFmtId="37" fontId="9" fillId="3" borderId="0" xfId="7" quotePrefix="1" applyNumberFormat="1" applyFont="1" applyFill="1" applyBorder="1" applyAlignment="1" applyProtection="1">
      <alignment vertical="center" wrapText="1"/>
    </xf>
    <xf numFmtId="0" fontId="1" fillId="0" borderId="39" xfId="5" quotePrefix="1" applyBorder="1" applyAlignment="1">
      <alignment horizontal="left"/>
    </xf>
    <xf numFmtId="0" fontId="9" fillId="3" borderId="21" xfId="5" quotePrefix="1" applyFont="1" applyFill="1" applyBorder="1" applyAlignment="1">
      <alignment horizontal="left" vertical="center" wrapText="1"/>
    </xf>
    <xf numFmtId="37" fontId="9" fillId="3" borderId="21" xfId="5" quotePrefix="1" applyNumberFormat="1" applyFont="1" applyFill="1" applyBorder="1" applyAlignment="1">
      <alignment vertical="center" wrapText="1"/>
    </xf>
    <xf numFmtId="0" fontId="9" fillId="0" borderId="40" xfId="5" quotePrefix="1" applyFont="1" applyBorder="1" applyAlignment="1">
      <alignment horizontal="center" vertical="center" wrapText="1"/>
    </xf>
    <xf numFmtId="0" fontId="9" fillId="0" borderId="0" xfId="5" quotePrefix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8" fillId="6" borderId="8" xfId="0" applyNumberFormat="1" applyFont="1" applyFill="1" applyBorder="1" applyAlignment="1">
      <alignment horizontal="center"/>
    </xf>
    <xf numFmtId="164" fontId="0" fillId="0" borderId="25" xfId="0" applyNumberFormat="1" applyBorder="1" applyAlignment="1">
      <alignment horizontal="right"/>
    </xf>
    <xf numFmtId="0" fontId="21" fillId="6" borderId="30" xfId="0" applyFont="1" applyFill="1" applyBorder="1"/>
    <xf numFmtId="0" fontId="0" fillId="0" borderId="41" xfId="0" applyBorder="1"/>
    <xf numFmtId="0" fontId="0" fillId="0" borderId="42" xfId="0" applyBorder="1"/>
    <xf numFmtId="0" fontId="0" fillId="0" borderId="41" xfId="0" pivotButton="1" applyBorder="1"/>
    <xf numFmtId="0" fontId="0" fillId="0" borderId="43" xfId="0" applyBorder="1"/>
    <xf numFmtId="17" fontId="0" fillId="0" borderId="41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166" fontId="0" fillId="0" borderId="41" xfId="0" applyNumberFormat="1" applyBorder="1"/>
    <xf numFmtId="166" fontId="0" fillId="0" borderId="44" xfId="0" applyNumberFormat="1" applyBorder="1"/>
    <xf numFmtId="166" fontId="0" fillId="0" borderId="45" xfId="0" applyNumberFormat="1" applyBorder="1"/>
    <xf numFmtId="0" fontId="0" fillId="0" borderId="46" xfId="0" applyBorder="1"/>
    <xf numFmtId="0" fontId="0" fillId="0" borderId="47" xfId="0" applyBorder="1"/>
    <xf numFmtId="166" fontId="14" fillId="0" borderId="47" xfId="0" applyNumberFormat="1" applyFont="1" applyBorder="1"/>
    <xf numFmtId="166" fontId="14" fillId="0" borderId="0" xfId="0" applyNumberFormat="1" applyFont="1"/>
    <xf numFmtId="166" fontId="14" fillId="0" borderId="48" xfId="0" applyNumberFormat="1" applyFont="1" applyBorder="1"/>
    <xf numFmtId="166" fontId="0" fillId="0" borderId="47" xfId="0" applyNumberFormat="1" applyBorder="1"/>
    <xf numFmtId="166" fontId="0" fillId="0" borderId="0" xfId="0" applyNumberFormat="1"/>
    <xf numFmtId="166" fontId="0" fillId="0" borderId="48" xfId="0" applyNumberFormat="1" applyBorder="1"/>
    <xf numFmtId="166" fontId="14" fillId="0" borderId="41" xfId="0" applyNumberFormat="1" applyFont="1" applyBorder="1"/>
    <xf numFmtId="166" fontId="14" fillId="0" borderId="44" xfId="0" applyNumberFormat="1" applyFont="1" applyBorder="1"/>
    <xf numFmtId="166" fontId="14" fillId="0" borderId="45" xfId="0" applyNumberFormat="1" applyFont="1" applyBorder="1"/>
    <xf numFmtId="0" fontId="0" fillId="0" borderId="49" xfId="0" applyBorder="1"/>
    <xf numFmtId="0" fontId="0" fillId="0" borderId="50" xfId="0" applyBorder="1"/>
    <xf numFmtId="166" fontId="0" fillId="0" borderId="49" xfId="0" applyNumberFormat="1" applyBorder="1"/>
    <xf numFmtId="166" fontId="0" fillId="0" borderId="51" xfId="0" applyNumberFormat="1" applyBorder="1"/>
    <xf numFmtId="166" fontId="0" fillId="0" borderId="52" xfId="0" applyNumberFormat="1" applyBorder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8">
    <cellStyle name="Comma" xfId="1" builtinId="3"/>
    <cellStyle name="Comma 2" xfId="6" xr:uid="{2BD488E5-ADB3-4394-B391-B0BC59D2BF86}"/>
    <cellStyle name="Currency" xfId="2" builtinId="4"/>
    <cellStyle name="Normal" xfId="0" builtinId="0"/>
    <cellStyle name="Normal 2" xfId="3" xr:uid="{00000000-0005-0000-0000-000003000000}"/>
    <cellStyle name="Normal 3" xfId="5" xr:uid="{C74A3626-3191-48C4-979D-6AA009CBD37E}"/>
    <cellStyle name="Percent" xfId="4" builtinId="5"/>
    <cellStyle name="Percent 2" xfId="7" xr:uid="{390DDF91-C7B5-48DA-8924-F3DBD600758D}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397888310188" createdVersion="6" refreshedVersion="8" recordCount="192" xr:uid="{00000000-000A-0000-FFFF-FFFFA6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0.24830327934112015" maxValue="0.24830327934112015"/>
    </cacheField>
    <cacheField name="Actual True-Up Rate" numFmtId="164">
      <sharedItems containsSemiMixedTypes="0" containsString="0" containsNumber="1" minValue="0.50085767102457412" maxValue="0.50085767102457412"/>
    </cacheField>
    <cacheField name="True-Up Charge" numFmtId="164">
      <sharedItems containsSemiMixedTypes="0" containsString="0" containsNumber="1" minValue="0" maxValue="2058.5250279109996"/>
    </cacheField>
    <cacheField name="Invoiced*** Charge (proj.)" numFmtId="164">
      <sharedItems containsSemiMixedTypes="0" containsString="0" containsNumber="1" minValue="0" maxValue="1020.5264780920038"/>
    </cacheField>
    <cacheField name="True-Up w/o Interest" numFmtId="164">
      <sharedItems containsSemiMixedTypes="0" containsString="0" containsNumber="1" minValue="0" maxValue="1037.9985498189958"/>
    </cacheField>
    <cacheField name="Interest" numFmtId="164">
      <sharedItems containsSemiMixedTypes="0" containsString="0" containsNumber="1" minValue="0" maxValue="74.322217433901812"/>
    </cacheField>
    <cacheField name="2023 True Up Including Interest" numFmtId="164">
      <sharedItems containsSemiMixedTypes="0" containsString="0" containsNumber="1" minValue="0" maxValue="1112.3207672528977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0" maxValue="1112.32076725289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0.24830327934112015"/>
    <n v="0.50085767102457412"/>
    <n v="1473.0224104832726"/>
    <n v="730.25994454223439"/>
    <n v="742.76246594103816"/>
    <n v="53.182881137008579"/>
    <n v="795.94534707804678"/>
    <n v="0"/>
    <n v="0"/>
    <n v="0"/>
    <n v="795.94534707804678"/>
  </r>
  <r>
    <x v="1"/>
    <d v="2025-03-05T00:00:00"/>
    <d v="2025-03-24T00:00:00"/>
    <x v="0"/>
    <n v="9"/>
    <n v="3221"/>
    <n v="0.24830327934112015"/>
    <n v="0.50085767102457412"/>
    <n v="1613.2625583701533"/>
    <n v="799.78486275774799"/>
    <n v="813.47769561240534"/>
    <n v="58.24619522009678"/>
    <n v="871.72389083250209"/>
    <n v="0"/>
    <n v="0"/>
    <n v="0"/>
    <n v="871.72389083250209"/>
  </r>
  <r>
    <x v="2"/>
    <d v="2025-04-03T00:00:00"/>
    <d v="2025-04-24T00:00:00"/>
    <x v="0"/>
    <n v="9"/>
    <n v="2419"/>
    <n v="0.24830327934112015"/>
    <n v="0.50085767102457412"/>
    <n v="1211.5747062084447"/>
    <n v="600.64563272616965"/>
    <n v="610.92907348227504"/>
    <n v="43.743417024965574"/>
    <n v="654.67249050724058"/>
    <n v="0"/>
    <n v="0"/>
    <n v="0"/>
    <n v="654.67249050724058"/>
  </r>
  <r>
    <x v="3"/>
    <d v="2025-05-05T00:00:00"/>
    <d v="2025-05-26T00:00:00"/>
    <x v="0"/>
    <n v="9"/>
    <n v="2717"/>
    <n v="0.24830327934112015"/>
    <n v="0.50085767102457412"/>
    <n v="1360.8302921737679"/>
    <n v="674.6400099698235"/>
    <n v="686.19028220394443"/>
    <n v="49.132229870538012"/>
    <n v="735.32251207448246"/>
    <n v="0"/>
    <n v="0"/>
    <n v="0"/>
    <n v="735.32251207448246"/>
  </r>
  <r>
    <x v="4"/>
    <d v="2025-06-04T00:00:00"/>
    <d v="2025-06-24T00:00:00"/>
    <x v="0"/>
    <n v="9"/>
    <n v="3378"/>
    <n v="0.24830327934112015"/>
    <n v="0.50085767102457412"/>
    <n v="1691.8972127210113"/>
    <n v="838.76847761430383"/>
    <n v="853.1287351067075"/>
    <n v="61.08526775954266"/>
    <n v="914.21400286625021"/>
    <n v="0"/>
    <n v="0"/>
    <n v="0"/>
    <n v="914.21400286625021"/>
  </r>
  <r>
    <x v="5"/>
    <d v="2025-07-03T00:00:00"/>
    <d v="2025-07-24T00:00:00"/>
    <x v="0"/>
    <n v="9"/>
    <n v="3824"/>
    <n v="0.24830327934112015"/>
    <n v="0.50085767102457412"/>
    <n v="1915.2797339979716"/>
    <n v="949.51174020044346"/>
    <n v="965.76799379752811"/>
    <n v="69.150403763318863"/>
    <n v="1034.9183975608469"/>
    <n v="0"/>
    <n v="0"/>
    <n v="0"/>
    <n v="1034.9183975608469"/>
  </r>
  <r>
    <x v="6"/>
    <d v="2025-08-05T00:00:00"/>
    <d v="2025-08-25T00:00:00"/>
    <x v="0"/>
    <n v="9"/>
    <n v="4110"/>
    <n v="0.24830327934112015"/>
    <n v="0.50085767102457412"/>
    <n v="2058.5250279109996"/>
    <n v="1020.5264780920038"/>
    <n v="1037.9985498189958"/>
    <n v="74.322217433901812"/>
    <n v="1112.3207672528977"/>
    <n v="0"/>
    <n v="0"/>
    <n v="0"/>
    <n v="1112.3207672528977"/>
  </r>
  <r>
    <x v="7"/>
    <d v="2025-09-04T00:00:00"/>
    <d v="2025-09-24T00:00:00"/>
    <x v="0"/>
    <n v="9"/>
    <n v="4096"/>
    <n v="0.24830327934112015"/>
    <n v="0.50085767102457412"/>
    <n v="2051.5130205166556"/>
    <n v="1017.0502321812281"/>
    <n v="1034.4627883354274"/>
    <n v="74.0690517297474"/>
    <n v="1108.5318400651747"/>
    <n v="0"/>
    <n v="0"/>
    <n v="0"/>
    <n v="1108.5318400651747"/>
  </r>
  <r>
    <x v="8"/>
    <d v="2025-10-03T00:00:00"/>
    <d v="2025-10-24T00:00:00"/>
    <x v="0"/>
    <n v="9"/>
    <n v="3657"/>
    <n v="0.24830327934112015"/>
    <n v="0.50085767102457412"/>
    <n v="1831.6365029368676"/>
    <n v="908.0450925504764"/>
    <n v="923.5914103863912"/>
    <n v="66.130498578048403"/>
    <n v="989.72190896443965"/>
    <n v="0"/>
    <n v="0"/>
    <n v="0"/>
    <n v="989.72190896443965"/>
  </r>
  <r>
    <x v="9"/>
    <d v="2025-11-05T00:00:00"/>
    <d v="2025-11-24T00:00:00"/>
    <x v="0"/>
    <n v="9"/>
    <n v="3261"/>
    <n v="0.24830327934112015"/>
    <n v="0.50085767102457412"/>
    <n v="1633.2968652111363"/>
    <n v="809.71699393139284"/>
    <n v="823.57987127974343"/>
    <n v="58.969525803395094"/>
    <n v="882.5493970831385"/>
    <n v="0"/>
    <n v="0"/>
    <n v="0"/>
    <n v="882.5493970831385"/>
  </r>
  <r>
    <x v="10"/>
    <d v="2025-12-03T00:00:00"/>
    <d v="2025-12-24T00:00:00"/>
    <x v="0"/>
    <n v="9"/>
    <n v="2449"/>
    <n v="0.24830327934112015"/>
    <n v="0.50085767102457412"/>
    <n v="1226.6004363391821"/>
    <n v="608.09473110640329"/>
    <n v="618.50570523277884"/>
    <n v="44.285914962439307"/>
    <n v="662.79162019521812"/>
    <n v="0"/>
    <n v="0"/>
    <n v="0"/>
    <n v="662.79162019521812"/>
  </r>
  <r>
    <x v="11"/>
    <d v="2026-01-06T00:00:00"/>
    <d v="2026-01-26T00:00:00"/>
    <x v="0"/>
    <n v="9"/>
    <n v="2817"/>
    <n v="0.24830327934112015"/>
    <n v="0.50085767102457412"/>
    <n v="1410.9160592762253"/>
    <n v="699.4703379039355"/>
    <n v="711.44572137228977"/>
    <n v="50.940556328783799"/>
    <n v="762.3862777010736"/>
    <n v="0"/>
    <n v="0"/>
    <n v="0"/>
    <n v="762.3862777010736"/>
  </r>
  <r>
    <x v="0"/>
    <d v="2025-02-05T00:00:00"/>
    <d v="2025-02-24T00:00:00"/>
    <x v="1"/>
    <n v="9"/>
    <n v="3414"/>
    <n v="0.24830327934112015"/>
    <n v="0.50085767102457412"/>
    <n v="1709.928088877896"/>
    <n v="847.70739567058422"/>
    <n v="862.2206932073118"/>
    <n v="61.736265284511148"/>
    <n v="923.95695849182289"/>
    <n v="0"/>
    <n v="0"/>
    <n v="0"/>
    <n v="923.95695849182289"/>
  </r>
  <r>
    <x v="1"/>
    <d v="2025-03-05T00:00:00"/>
    <d v="2025-03-24T00:00:00"/>
    <x v="1"/>
    <n v="9"/>
    <n v="3330"/>
    <n v="0.24830327934112015"/>
    <n v="0.50085767102457412"/>
    <n v="1667.8560445118319"/>
    <n v="826.84992020593006"/>
    <n v="841.00612430590184"/>
    <n v="60.217271059584682"/>
    <n v="901.22339536548657"/>
    <n v="0"/>
    <n v="0"/>
    <n v="0"/>
    <n v="901.22339536548657"/>
  </r>
  <r>
    <x v="2"/>
    <d v="2025-04-03T00:00:00"/>
    <d v="2025-04-24T00:00:00"/>
    <x v="1"/>
    <n v="9"/>
    <n v="2483"/>
    <n v="0.24830327934112015"/>
    <n v="0.50085767102457412"/>
    <n v="1243.6295971540176"/>
    <n v="616.53704260400127"/>
    <n v="627.0925545500163"/>
    <n v="44.900745958242872"/>
    <n v="671.99330050825915"/>
    <n v="0"/>
    <n v="0"/>
    <n v="0"/>
    <n v="671.99330050825915"/>
  </r>
  <r>
    <x v="3"/>
    <d v="2025-05-05T00:00:00"/>
    <d v="2025-05-26T00:00:00"/>
    <x v="1"/>
    <n v="9"/>
    <n v="2549"/>
    <n v="0.24830327934112015"/>
    <n v="0.50085767102457412"/>
    <n v="1276.6862034416395"/>
    <n v="632.92505904051529"/>
    <n v="643.76114440112417"/>
    <n v="46.094241420685094"/>
    <n v="689.85538582180925"/>
    <n v="0"/>
    <n v="0"/>
    <n v="0"/>
    <n v="689.85538582180925"/>
  </r>
  <r>
    <x v="4"/>
    <d v="2025-06-04T00:00:00"/>
    <d v="2025-06-24T00:00:00"/>
    <x v="1"/>
    <n v="9"/>
    <n v="3007"/>
    <n v="0.24830327934112015"/>
    <n v="0.50085767102457412"/>
    <n v="1506.0790167708944"/>
    <n v="746.6479609787483"/>
    <n v="759.43105579214614"/>
    <n v="54.376376599450793"/>
    <n v="813.80743239159688"/>
    <n v="0"/>
    <n v="0"/>
    <n v="0"/>
    <n v="813.80743239159688"/>
  </r>
  <r>
    <x v="5"/>
    <d v="2025-07-03T00:00:00"/>
    <d v="2025-07-24T00:00:00"/>
    <x v="1"/>
    <n v="9"/>
    <n v="3377"/>
    <n v="0.24830327934112015"/>
    <n v="0.50085767102457412"/>
    <n v="1691.3963550499868"/>
    <n v="838.52017433496269"/>
    <n v="852.87618071502413"/>
    <n v="61.067184494960202"/>
    <n v="913.94336520998434"/>
    <n v="0"/>
    <n v="0"/>
    <n v="0"/>
    <n v="913.94336520998434"/>
  </r>
  <r>
    <x v="6"/>
    <d v="2025-08-05T00:00:00"/>
    <d v="2025-08-25T00:00:00"/>
    <x v="1"/>
    <n v="9"/>
    <n v="3723"/>
    <n v="0.24830327934112015"/>
    <n v="0.50085767102457412"/>
    <n v="1864.6931092244895"/>
    <n v="924.43310898699031"/>
    <n v="940.26000023749918"/>
    <n v="67.323994040490632"/>
    <n v="1007.5839942779899"/>
    <n v="0"/>
    <n v="0"/>
    <n v="0"/>
    <n v="1007.5839942779899"/>
  </r>
  <r>
    <x v="7"/>
    <d v="2025-09-04T00:00:00"/>
    <d v="2025-09-24T00:00:00"/>
    <x v="1"/>
    <n v="9"/>
    <n v="3715"/>
    <n v="0.24830327934112015"/>
    <n v="0.50085767102457412"/>
    <n v="1860.6862478562928"/>
    <n v="922.44668275226138"/>
    <n v="938.23956510403139"/>
    <n v="67.179327923830968"/>
    <n v="1005.4188930278624"/>
    <n v="0"/>
    <n v="0"/>
    <n v="0"/>
    <n v="1005.4188930278624"/>
  </r>
  <r>
    <x v="8"/>
    <d v="2025-10-03T00:00:00"/>
    <d v="2025-10-24T00:00:00"/>
    <x v="1"/>
    <n v="9"/>
    <n v="3256"/>
    <n v="0.24830327934112015"/>
    <n v="0.50085767102457412"/>
    <n v="1630.7925768560133"/>
    <n v="808.47547753468723"/>
    <n v="822.31709932132605"/>
    <n v="58.879109480482803"/>
    <n v="881.19620880180889"/>
    <n v="0"/>
    <n v="0"/>
    <n v="0"/>
    <n v="881.19620880180889"/>
  </r>
  <r>
    <x v="9"/>
    <d v="2025-11-05T00:00:00"/>
    <d v="2025-11-24T00:00:00"/>
    <x v="1"/>
    <n v="9"/>
    <n v="3014"/>
    <n v="0.24830327934112015"/>
    <n v="0.50085767102457412"/>
    <n v="1509.5850204680664"/>
    <n v="748.38608393413608"/>
    <n v="761.19893653393035"/>
    <n v="54.502959451528"/>
    <n v="815.70189598545835"/>
    <n v="0"/>
    <n v="0"/>
    <n v="0"/>
    <n v="815.70189598545835"/>
  </r>
  <r>
    <x v="10"/>
    <d v="2025-12-03T00:00:00"/>
    <d v="2025-12-24T00:00:00"/>
    <x v="1"/>
    <n v="9"/>
    <n v="2338"/>
    <n v="0.24830327934112015"/>
    <n v="0.50085767102457412"/>
    <n v="1171.0052348554543"/>
    <n v="580.53306709953893"/>
    <n v="590.47216775591539"/>
    <n v="42.278672593786489"/>
    <n v="632.75084034970189"/>
    <n v="0"/>
    <n v="0"/>
    <n v="0"/>
    <n v="632.75084034970189"/>
  </r>
  <r>
    <x v="11"/>
    <d v="2026-01-06T00:00:00"/>
    <d v="2026-01-26T00:00:00"/>
    <x v="1"/>
    <n v="9"/>
    <n v="2969"/>
    <n v="0.24830327934112015"/>
    <n v="0.50085767102457412"/>
    <n v="1487.0464252719605"/>
    <n v="737.21243636378574"/>
    <n v="749.83398890817477"/>
    <n v="53.689212545317396"/>
    <n v="803.52320145349222"/>
    <n v="0"/>
    <n v="0"/>
    <n v="0"/>
    <n v="803.52320145349222"/>
  </r>
  <r>
    <x v="0"/>
    <d v="2025-02-05T00:00:00"/>
    <d v="2025-02-24T00:00:00"/>
    <x v="2"/>
    <n v="9"/>
    <n v="211"/>
    <n v="0.24830327934112015"/>
    <n v="0.50085767102457412"/>
    <n v="105.68096858618514"/>
    <n v="52.391991940976354"/>
    <n v="53.288976645208791"/>
    <n v="3.8155688268986094"/>
    <n v="57.104545472107404"/>
    <n v="0"/>
    <n v="0"/>
    <n v="0"/>
    <n v="57.104545472107404"/>
  </r>
  <r>
    <x v="1"/>
    <d v="2025-03-05T00:00:00"/>
    <d v="2025-03-24T00:00:00"/>
    <x v="2"/>
    <n v="9"/>
    <n v="200"/>
    <n v="0.24830327934112015"/>
    <n v="0.50085767102457412"/>
    <n v="100.17153420491482"/>
    <n v="49.660655868224026"/>
    <n v="50.510878336690794"/>
    <n v="3.6166529164915726"/>
    <n v="54.127531253182369"/>
    <n v="0"/>
    <n v="0"/>
    <n v="0"/>
    <n v="54.127531253182369"/>
  </r>
  <r>
    <x v="2"/>
    <d v="2025-04-03T00:00:00"/>
    <d v="2025-04-24T00:00:00"/>
    <x v="2"/>
    <n v="9"/>
    <n v="122"/>
    <n v="0.24830327934112015"/>
    <n v="0.50085767102457412"/>
    <n v="61.104635864998045"/>
    <n v="30.293000079616657"/>
    <n v="30.811635785381387"/>
    <n v="2.2061582790598591"/>
    <n v="33.017794064441247"/>
    <n v="0"/>
    <n v="0"/>
    <n v="0"/>
    <n v="33.017794064441247"/>
  </r>
  <r>
    <x v="3"/>
    <d v="2025-05-05T00:00:00"/>
    <d v="2025-05-26T00:00:00"/>
    <x v="2"/>
    <n v="9"/>
    <n v="109"/>
    <n v="0.24830327934112015"/>
    <n v="0.50085767102457412"/>
    <n v="54.593486141678582"/>
    <n v="27.065057448182095"/>
    <n v="27.528428693496487"/>
    <n v="1.9710758394879073"/>
    <n v="29.499504532984393"/>
    <n v="0"/>
    <n v="0"/>
    <n v="0"/>
    <n v="29.499504532984393"/>
  </r>
  <r>
    <x v="4"/>
    <d v="2025-06-04T00:00:00"/>
    <d v="2025-06-24T00:00:00"/>
    <x v="2"/>
    <n v="9"/>
    <n v="102"/>
    <n v="0.24830327934112015"/>
    <n v="0.50085767102457412"/>
    <n v="51.087482444506563"/>
    <n v="25.326934492794255"/>
    <n v="25.760547951712308"/>
    <n v="1.8444929874107021"/>
    <n v="27.605040939123011"/>
    <n v="0"/>
    <n v="0"/>
    <n v="0"/>
    <n v="27.605040939123011"/>
  </r>
  <r>
    <x v="5"/>
    <d v="2025-07-03T00:00:00"/>
    <d v="2025-07-24T00:00:00"/>
    <x v="2"/>
    <n v="9"/>
    <n v="131"/>
    <n v="0.24830327934112015"/>
    <n v="0.50085767102457412"/>
    <n v="65.612354904219217"/>
    <n v="32.527729593686736"/>
    <n v="33.084625310532481"/>
    <n v="2.3689076603019799"/>
    <n v="35.453532970834459"/>
    <n v="0"/>
    <n v="0"/>
    <n v="0"/>
    <n v="35.453532970834459"/>
  </r>
  <r>
    <x v="6"/>
    <d v="2025-08-05T00:00:00"/>
    <d v="2025-08-25T00:00:00"/>
    <x v="2"/>
    <n v="9"/>
    <n v="146"/>
    <n v="0.24830327934112015"/>
    <n v="0.50085767102457412"/>
    <n v="73.125219969587818"/>
    <n v="36.25227878380354"/>
    <n v="36.872941185784278"/>
    <n v="2.6401566290388478"/>
    <n v="39.513097814823126"/>
    <n v="0"/>
    <n v="0"/>
    <n v="0"/>
    <n v="39.513097814823126"/>
  </r>
  <r>
    <x v="7"/>
    <d v="2025-09-04T00:00:00"/>
    <d v="2025-09-24T00:00:00"/>
    <x v="2"/>
    <n v="9"/>
    <n v="149"/>
    <n v="0.24830327934112015"/>
    <n v="0.50085767102457412"/>
    <n v="74.627792982661546"/>
    <n v="36.997188621826901"/>
    <n v="37.630604360834646"/>
    <n v="2.6944064227862219"/>
    <n v="40.325010783620868"/>
    <n v="0"/>
    <n v="0"/>
    <n v="0"/>
    <n v="40.325010783620868"/>
  </r>
  <r>
    <x v="8"/>
    <d v="2025-10-03T00:00:00"/>
    <d v="2025-10-24T00:00:00"/>
    <x v="2"/>
    <n v="9"/>
    <n v="122"/>
    <n v="0.24830327934112015"/>
    <n v="0.50085767102457412"/>
    <n v="61.104635864998045"/>
    <n v="30.293000079616657"/>
    <n v="30.811635785381387"/>
    <n v="2.2061582790598591"/>
    <n v="33.017794064441247"/>
    <n v="0"/>
    <n v="0"/>
    <n v="0"/>
    <n v="33.017794064441247"/>
  </r>
  <r>
    <x v="9"/>
    <d v="2025-11-05T00:00:00"/>
    <d v="2025-11-24T00:00:00"/>
    <x v="2"/>
    <n v="9"/>
    <n v="117"/>
    <n v="0.24830327934112015"/>
    <n v="0.50085767102457412"/>
    <n v="58.600347509875171"/>
    <n v="29.051483682911059"/>
    <n v="29.548863826964112"/>
    <n v="2.1157419561475703"/>
    <n v="31.664605783111682"/>
    <n v="0"/>
    <n v="0"/>
    <n v="0"/>
    <n v="31.664605783111682"/>
  </r>
  <r>
    <x v="10"/>
    <d v="2025-12-03T00:00:00"/>
    <d v="2025-12-24T00:00:00"/>
    <x v="2"/>
    <n v="9"/>
    <n v="118"/>
    <n v="0.24830327934112015"/>
    <n v="0.50085767102457412"/>
    <n v="59.101205180899747"/>
    <n v="29.299786962252178"/>
    <n v="29.801418218647569"/>
    <n v="2.1338252207300279"/>
    <n v="31.935243439377597"/>
    <n v="0"/>
    <n v="0"/>
    <n v="0"/>
    <n v="31.935243439377597"/>
  </r>
  <r>
    <x v="11"/>
    <d v="2026-01-06T00:00:00"/>
    <d v="2026-01-26T00:00:00"/>
    <x v="2"/>
    <n v="9"/>
    <n v="178"/>
    <n v="0.24830327934112015"/>
    <n v="0.50085767102457412"/>
    <n v="89.1526654423742"/>
    <n v="44.197983722719385"/>
    <n v="44.954681719654815"/>
    <n v="3.2188210956774994"/>
    <n v="48.173502815332313"/>
    <n v="0"/>
    <n v="0"/>
    <n v="0"/>
    <n v="48.173502815332313"/>
  </r>
  <r>
    <x v="0"/>
    <d v="2025-02-05T00:00:00"/>
    <d v="2025-02-24T00:00:00"/>
    <x v="3"/>
    <n v="9"/>
    <n v="966"/>
    <n v="0.24830327934112015"/>
    <n v="0.50085767102457412"/>
    <n v="483.82851020973862"/>
    <n v="239.86096784352208"/>
    <n v="243.96754236621655"/>
    <n v="17.468433586654296"/>
    <n v="261.43597595287082"/>
    <n v="0"/>
    <n v="0"/>
    <n v="0"/>
    <n v="261.43597595287082"/>
  </r>
  <r>
    <x v="1"/>
    <d v="2025-03-05T00:00:00"/>
    <d v="2025-03-24T00:00:00"/>
    <x v="3"/>
    <n v="9"/>
    <n v="1102"/>
    <n v="0.24830327934112015"/>
    <n v="0.50085767102457412"/>
    <n v="551.94515346908065"/>
    <n v="273.63021383391441"/>
    <n v="278.31493963516624"/>
    <n v="19.927757569868565"/>
    <n v="298.2426972050348"/>
    <n v="0"/>
    <n v="0"/>
    <n v="0"/>
    <n v="298.2426972050348"/>
  </r>
  <r>
    <x v="2"/>
    <d v="2025-04-03T00:00:00"/>
    <d v="2025-04-24T00:00:00"/>
    <x v="3"/>
    <n v="9"/>
    <n v="715"/>
    <n v="0.24830327934112015"/>
    <n v="0.50085767102457412"/>
    <n v="358.11323478257049"/>
    <n v="177.53684472890092"/>
    <n v="180.57639005366957"/>
    <n v="12.929534176457372"/>
    <n v="193.50592423012694"/>
    <n v="0"/>
    <n v="0"/>
    <n v="0"/>
    <n v="193.50592423012694"/>
  </r>
  <r>
    <x v="3"/>
    <d v="2025-05-05T00:00:00"/>
    <d v="2025-05-26T00:00:00"/>
    <x v="3"/>
    <n v="9"/>
    <n v="581"/>
    <n v="0.24830327934112015"/>
    <n v="0.50085767102457412"/>
    <n v="290.99830686527758"/>
    <n v="144.26420529719081"/>
    <n v="146.73410156808677"/>
    <n v="10.506376722408019"/>
    <n v="157.24047829049479"/>
    <n v="0"/>
    <n v="0"/>
    <n v="0"/>
    <n v="157.24047829049479"/>
  </r>
  <r>
    <x v="4"/>
    <d v="2025-06-04T00:00:00"/>
    <d v="2025-06-24T00:00:00"/>
    <x v="3"/>
    <n v="9"/>
    <n v="781"/>
    <n v="0.24830327934112015"/>
    <n v="0.50085767102457412"/>
    <n v="391.16984107019238"/>
    <n v="193.92486116541482"/>
    <n v="197.24497990477755"/>
    <n v="14.123029638899592"/>
    <n v="211.36800954367715"/>
    <n v="0"/>
    <n v="0"/>
    <n v="0"/>
    <n v="211.36800954367715"/>
  </r>
  <r>
    <x v="5"/>
    <d v="2025-07-03T00:00:00"/>
    <d v="2025-07-24T00:00:00"/>
    <x v="3"/>
    <n v="9"/>
    <n v="896"/>
    <n v="0.24830327934112015"/>
    <n v="0.50085767102457412"/>
    <n v="448.76847323801843"/>
    <n v="222.47973828964365"/>
    <n v="226.28873494837478"/>
    <n v="16.202605065882246"/>
    <n v="242.49134001425702"/>
    <n v="0"/>
    <n v="0"/>
    <n v="0"/>
    <n v="242.49134001425702"/>
  </r>
  <r>
    <x v="6"/>
    <d v="2025-08-05T00:00:00"/>
    <d v="2025-08-25T00:00:00"/>
    <x v="3"/>
    <n v="9"/>
    <n v="1028"/>
    <n v="0.24830327934112015"/>
    <n v="0.50085767102457412"/>
    <n v="514.88168581326215"/>
    <n v="255.25577116267152"/>
    <n v="259.62591465059063"/>
    <n v="18.589595990766686"/>
    <n v="278.2155106413573"/>
    <n v="0"/>
    <n v="0"/>
    <n v="0"/>
    <n v="278.2155106413573"/>
  </r>
  <r>
    <x v="7"/>
    <d v="2025-09-04T00:00:00"/>
    <d v="2025-09-24T00:00:00"/>
    <x v="3"/>
    <n v="9"/>
    <n v="1055"/>
    <n v="0.24830327934112015"/>
    <n v="0.50085767102457412"/>
    <n v="528.40484293092572"/>
    <n v="261.95995970488178"/>
    <n v="266.44488322604394"/>
    <n v="19.077844134493049"/>
    <n v="285.52272736053698"/>
    <n v="0"/>
    <n v="0"/>
    <n v="0"/>
    <n v="285.52272736053698"/>
  </r>
  <r>
    <x v="8"/>
    <d v="2025-10-03T00:00:00"/>
    <d v="2025-10-24T00:00:00"/>
    <x v="3"/>
    <n v="9"/>
    <n v="815"/>
    <n v="0.24830327934112015"/>
    <n v="0.50085767102457412"/>
    <n v="408.19900188502794"/>
    <n v="202.36717266301292"/>
    <n v="205.83182922201502"/>
    <n v="14.737860634703157"/>
    <n v="220.56968985671818"/>
    <n v="0"/>
    <n v="0"/>
    <n v="0"/>
    <n v="220.56968985671818"/>
  </r>
  <r>
    <x v="9"/>
    <d v="2025-11-05T00:00:00"/>
    <d v="2025-11-24T00:00:00"/>
    <x v="3"/>
    <n v="9"/>
    <n v="738"/>
    <n v="0.24830327934112015"/>
    <n v="0.50085767102457412"/>
    <n v="369.6329612161357"/>
    <n v="183.24782015374666"/>
    <n v="186.38514106238904"/>
    <n v="13.345449261853902"/>
    <n v="199.73059032424294"/>
    <n v="0"/>
    <n v="0"/>
    <n v="0"/>
    <n v="199.73059032424294"/>
  </r>
  <r>
    <x v="10"/>
    <d v="2025-12-03T00:00:00"/>
    <d v="2025-12-24T00:00:00"/>
    <x v="3"/>
    <n v="9"/>
    <n v="706"/>
    <n v="0.24830327934112015"/>
    <n v="0.50085767102457412"/>
    <n v="353.60551574334932"/>
    <n v="175.30211521483082"/>
    <n v="178.30340052851849"/>
    <n v="12.766784795215251"/>
    <n v="191.07018532373374"/>
    <n v="0"/>
    <n v="0"/>
    <n v="0"/>
    <n v="191.07018532373374"/>
  </r>
  <r>
    <x v="11"/>
    <d v="2026-01-06T00:00:00"/>
    <d v="2026-01-26T00:00:00"/>
    <x v="3"/>
    <n v="9"/>
    <n v="863"/>
    <n v="0.24830327934112015"/>
    <n v="0.50085767102457412"/>
    <n v="432.24017009420749"/>
    <n v="214.28573007138669"/>
    <n v="217.95444002282079"/>
    <n v="15.605857334661135"/>
    <n v="233.56029735748191"/>
    <n v="0"/>
    <n v="0"/>
    <n v="0"/>
    <n v="233.56029735748191"/>
  </r>
  <r>
    <x v="0"/>
    <d v="2025-02-05T00:00:00"/>
    <d v="2025-02-24T00:00:00"/>
    <x v="4"/>
    <n v="9"/>
    <n v="47"/>
    <n v="0.24830327934112015"/>
    <n v="0.50085767102457412"/>
    <n v="23.540310538154984"/>
    <n v="11.670254129032648"/>
    <n v="11.870056409122336"/>
    <n v="0.84991343537551955"/>
    <n v="12.719969844497856"/>
    <n v="0"/>
    <n v="0"/>
    <n v="0"/>
    <n v="12.719969844497856"/>
  </r>
  <r>
    <x v="1"/>
    <d v="2025-03-05T00:00:00"/>
    <d v="2025-03-24T00:00:00"/>
    <x v="4"/>
    <n v="9"/>
    <n v="57"/>
    <n v="0.24830327934112015"/>
    <n v="0.50085767102457412"/>
    <n v="28.548887248400725"/>
    <n v="14.153286922443849"/>
    <n v="14.395600325956876"/>
    <n v="1.0307460812000981"/>
    <n v="15.426346407156974"/>
    <n v="0"/>
    <n v="0"/>
    <n v="0"/>
    <n v="15.426346407156974"/>
  </r>
  <r>
    <x v="2"/>
    <d v="2025-04-03T00:00:00"/>
    <d v="2025-04-24T00:00:00"/>
    <x v="4"/>
    <n v="9"/>
    <n v="34"/>
    <n v="0.24830327934112015"/>
    <n v="0.50085767102457412"/>
    <n v="17.029160814835521"/>
    <n v="8.4423114975980855"/>
    <n v="8.5868493172374354"/>
    <n v="0.61483099580356726"/>
    <n v="9.2016803130410025"/>
    <n v="0"/>
    <n v="0"/>
    <n v="0"/>
    <n v="9.2016803130410025"/>
  </r>
  <r>
    <x v="3"/>
    <d v="2025-05-05T00:00:00"/>
    <d v="2025-05-26T00:00:00"/>
    <x v="4"/>
    <n v="9"/>
    <n v="27"/>
    <n v="0.24830327934112015"/>
    <n v="0.50085767102457412"/>
    <n v="13.523157117663501"/>
    <n v="6.7041885422102441"/>
    <n v="6.8189685754532574"/>
    <n v="0.48824814372636233"/>
    <n v="7.3072167191796193"/>
    <n v="0"/>
    <n v="0"/>
    <n v="0"/>
    <n v="7.3072167191796193"/>
  </r>
  <r>
    <x v="4"/>
    <d v="2025-06-04T00:00:00"/>
    <d v="2025-06-24T00:00:00"/>
    <x v="4"/>
    <n v="9"/>
    <n v="40"/>
    <n v="0.24830327934112015"/>
    <n v="0.50085767102457412"/>
    <n v="20.034306840982964"/>
    <n v="9.9321311736448052"/>
    <n v="10.102175667338159"/>
    <n v="0.72333058329831446"/>
    <n v="10.825506250636474"/>
    <n v="0"/>
    <n v="0"/>
    <n v="0"/>
    <n v="10.825506250636474"/>
  </r>
  <r>
    <x v="5"/>
    <d v="2025-07-03T00:00:00"/>
    <d v="2025-07-24T00:00:00"/>
    <x v="4"/>
    <n v="9"/>
    <n v="46"/>
    <n v="0.24830327934112015"/>
    <n v="0.50085767102457412"/>
    <n v="23.039452867130411"/>
    <n v="11.421950849691527"/>
    <n v="11.617502017438884"/>
    <n v="0.83183017079306176"/>
    <n v="12.449332188231946"/>
    <n v="0"/>
    <n v="0"/>
    <n v="0"/>
    <n v="12.449332188231946"/>
  </r>
  <r>
    <x v="6"/>
    <d v="2025-08-05T00:00:00"/>
    <d v="2025-08-25T00:00:00"/>
    <x v="4"/>
    <n v="9"/>
    <n v="55"/>
    <n v="0.24830327934112015"/>
    <n v="0.50085767102457412"/>
    <n v="27.547171906351576"/>
    <n v="13.656680363761609"/>
    <n v="13.890491542589967"/>
    <n v="0.99457955203518256"/>
    <n v="14.885071094625149"/>
    <n v="0"/>
    <n v="0"/>
    <n v="0"/>
    <n v="14.885071094625149"/>
  </r>
  <r>
    <x v="7"/>
    <d v="2025-09-04T00:00:00"/>
    <d v="2025-09-24T00:00:00"/>
    <x v="4"/>
    <n v="9"/>
    <n v="55"/>
    <n v="0.24830327934112015"/>
    <n v="0.50085767102457412"/>
    <n v="27.547171906351576"/>
    <n v="13.656680363761609"/>
    <n v="13.890491542589967"/>
    <n v="0.99457955203518256"/>
    <n v="14.885071094625149"/>
    <n v="0"/>
    <n v="0"/>
    <n v="0"/>
    <n v="14.885071094625149"/>
  </r>
  <r>
    <x v="8"/>
    <d v="2025-10-03T00:00:00"/>
    <d v="2025-10-24T00:00:00"/>
    <x v="4"/>
    <n v="9"/>
    <n v="44"/>
    <n v="0.24830327934112015"/>
    <n v="0.50085767102457412"/>
    <n v="22.037737525081262"/>
    <n v="10.925344291009287"/>
    <n v="11.112393234071975"/>
    <n v="0.79566364162814607"/>
    <n v="11.908056875700121"/>
    <n v="0"/>
    <n v="0"/>
    <n v="0"/>
    <n v="11.908056875700121"/>
  </r>
  <r>
    <x v="9"/>
    <d v="2025-11-05T00:00:00"/>
    <d v="2025-11-24T00:00:00"/>
    <x v="4"/>
    <n v="9"/>
    <n v="34"/>
    <n v="0.24830327934112015"/>
    <n v="0.50085767102457412"/>
    <n v="17.029160814835521"/>
    <n v="8.4423114975980855"/>
    <n v="8.5868493172374354"/>
    <n v="0.61483099580356726"/>
    <n v="9.2016803130410025"/>
    <n v="0"/>
    <n v="0"/>
    <n v="0"/>
    <n v="9.2016803130410025"/>
  </r>
  <r>
    <x v="10"/>
    <d v="2025-12-03T00:00:00"/>
    <d v="2025-12-24T00:00:00"/>
    <x v="4"/>
    <n v="9"/>
    <n v="35"/>
    <n v="0.24830327934112015"/>
    <n v="0.50085767102457412"/>
    <n v="17.530018485860094"/>
    <n v="8.6906147769392046"/>
    <n v="8.839403708920889"/>
    <n v="0.63291426038602527"/>
    <n v="9.4723179693069142"/>
    <n v="0"/>
    <n v="0"/>
    <n v="0"/>
    <n v="9.4723179693069142"/>
  </r>
  <r>
    <x v="11"/>
    <d v="2026-01-06T00:00:00"/>
    <d v="2026-01-26T00:00:00"/>
    <x v="4"/>
    <n v="9"/>
    <n v="39"/>
    <n v="0.24830327934112015"/>
    <n v="0.50085767102457412"/>
    <n v="19.533449169958391"/>
    <n v="9.6838278943036862"/>
    <n v="9.8496212756547052"/>
    <n v="0.70524731871585666"/>
    <n v="10.554868594370562"/>
    <n v="0"/>
    <n v="0"/>
    <n v="0"/>
    <n v="10.554868594370562"/>
  </r>
  <r>
    <x v="0"/>
    <d v="2025-02-05T00:00:00"/>
    <d v="2025-02-24T00:00:00"/>
    <x v="5"/>
    <n v="9"/>
    <n v="67"/>
    <n v="0.24830327934112015"/>
    <n v="0.50085767102457412"/>
    <n v="33.557463958646466"/>
    <n v="16.636319715855048"/>
    <n v="16.921144242791417"/>
    <n v="1.2115787270246769"/>
    <n v="18.132722969816093"/>
    <n v="0"/>
    <n v="0"/>
    <n v="0"/>
    <n v="18.132722969816093"/>
  </r>
  <r>
    <x v="1"/>
    <d v="2025-03-05T00:00:00"/>
    <d v="2025-03-24T00:00:00"/>
    <x v="5"/>
    <n v="9"/>
    <n v="71"/>
    <n v="0.24830327934112015"/>
    <n v="0.50085767102457412"/>
    <n v="35.560894642744763"/>
    <n v="17.629532833219532"/>
    <n v="17.931361809525232"/>
    <n v="1.2839117853545083"/>
    <n v="19.21527359487974"/>
    <n v="0"/>
    <n v="0"/>
    <n v="0"/>
    <n v="19.21527359487974"/>
  </r>
  <r>
    <x v="2"/>
    <d v="2025-04-03T00:00:00"/>
    <d v="2025-04-24T00:00:00"/>
    <x v="5"/>
    <n v="9"/>
    <n v="49"/>
    <n v="0.24830327934112015"/>
    <n v="0.50085767102457412"/>
    <n v="24.542025880204132"/>
    <n v="12.166860687714887"/>
    <n v="12.375165192489245"/>
    <n v="0.88607996454043525"/>
    <n v="13.261245157029681"/>
    <n v="0"/>
    <n v="0"/>
    <n v="0"/>
    <n v="13.261245157029681"/>
  </r>
  <r>
    <x v="3"/>
    <d v="2025-05-05T00:00:00"/>
    <d v="2025-05-26T00:00:00"/>
    <x v="5"/>
    <n v="9"/>
    <n v="37"/>
    <n v="0.24830327934112015"/>
    <n v="0.50085767102457412"/>
    <n v="18.531733827909243"/>
    <n v="9.1872213356214463"/>
    <n v="9.3445124922877962"/>
    <n v="0.66908078955094097"/>
    <n v="10.013593281838737"/>
    <n v="0"/>
    <n v="0"/>
    <n v="0"/>
    <n v="10.013593281838737"/>
  </r>
  <r>
    <x v="4"/>
    <d v="2025-06-04T00:00:00"/>
    <d v="2025-06-24T00:00:00"/>
    <x v="5"/>
    <n v="9"/>
    <n v="50"/>
    <n v="0.24830327934112015"/>
    <n v="0.50085767102457412"/>
    <n v="25.042883551228705"/>
    <n v="12.415163967056007"/>
    <n v="12.627719584172699"/>
    <n v="0.90416322912289315"/>
    <n v="13.531882813295592"/>
    <n v="0"/>
    <n v="0"/>
    <n v="0"/>
    <n v="13.531882813295592"/>
  </r>
  <r>
    <x v="5"/>
    <d v="2025-07-03T00:00:00"/>
    <d v="2025-07-24T00:00:00"/>
    <x v="5"/>
    <n v="9"/>
    <n v="54"/>
    <n v="0.24830327934112015"/>
    <n v="0.50085767102457412"/>
    <n v="27.046314235327003"/>
    <n v="13.408377084420488"/>
    <n v="13.637937150906515"/>
    <n v="0.97649628745272465"/>
    <n v="14.614433438359239"/>
    <n v="0"/>
    <n v="0"/>
    <n v="0"/>
    <n v="14.614433438359239"/>
  </r>
  <r>
    <x v="6"/>
    <d v="2025-08-05T00:00:00"/>
    <d v="2025-08-25T00:00:00"/>
    <x v="5"/>
    <n v="9"/>
    <n v="62"/>
    <n v="0.24830327934112015"/>
    <n v="0.50085767102457412"/>
    <n v="31.053175603523595"/>
    <n v="15.39480331914945"/>
    <n v="15.658372284374146"/>
    <n v="1.1211624041123875"/>
    <n v="16.779534688486532"/>
    <n v="0"/>
    <n v="0"/>
    <n v="0"/>
    <n v="16.779534688486532"/>
  </r>
  <r>
    <x v="7"/>
    <d v="2025-09-04T00:00:00"/>
    <d v="2025-09-24T00:00:00"/>
    <x v="5"/>
    <n v="9"/>
    <n v="55"/>
    <n v="0.24830327934112015"/>
    <n v="0.50085767102457412"/>
    <n v="27.547171906351576"/>
    <n v="13.656680363761609"/>
    <n v="13.890491542589967"/>
    <n v="0.99457955203518256"/>
    <n v="14.885071094625149"/>
    <n v="0"/>
    <n v="0"/>
    <n v="0"/>
    <n v="14.885071094625149"/>
  </r>
  <r>
    <x v="8"/>
    <d v="2025-10-03T00:00:00"/>
    <d v="2025-10-24T00:00:00"/>
    <x v="5"/>
    <n v="9"/>
    <n v="50"/>
    <n v="0.24830327934112015"/>
    <n v="0.50085767102457412"/>
    <n v="25.042883551228705"/>
    <n v="12.415163967056007"/>
    <n v="12.627719584172699"/>
    <n v="0.90416322912289315"/>
    <n v="13.531882813295592"/>
    <n v="0"/>
    <n v="0"/>
    <n v="0"/>
    <n v="13.531882813295592"/>
  </r>
  <r>
    <x v="9"/>
    <d v="2025-11-05T00:00:00"/>
    <d v="2025-11-24T00:00:00"/>
    <x v="5"/>
    <n v="9"/>
    <n v="47"/>
    <n v="0.24830327934112015"/>
    <n v="0.50085767102457412"/>
    <n v="23.540310538154984"/>
    <n v="11.670254129032648"/>
    <n v="11.870056409122336"/>
    <n v="0.84991343537551955"/>
    <n v="12.719969844497856"/>
    <n v="0"/>
    <n v="0"/>
    <n v="0"/>
    <n v="12.719969844497856"/>
  </r>
  <r>
    <x v="10"/>
    <d v="2025-12-03T00:00:00"/>
    <d v="2025-12-24T00:00:00"/>
    <x v="5"/>
    <n v="9"/>
    <n v="48"/>
    <n v="0.24830327934112015"/>
    <n v="0.50085767102457412"/>
    <n v="24.04116820917956"/>
    <n v="11.918557408373767"/>
    <n v="12.122610800805793"/>
    <n v="0.86799669995797746"/>
    <n v="12.990607500763771"/>
    <n v="0"/>
    <n v="0"/>
    <n v="0"/>
    <n v="12.990607500763771"/>
  </r>
  <r>
    <x v="11"/>
    <d v="2026-01-06T00:00:00"/>
    <d v="2026-01-26T00:00:00"/>
    <x v="5"/>
    <n v="9"/>
    <n v="58"/>
    <n v="0.24830327934112015"/>
    <n v="0.50085767102457412"/>
    <n v="29.049744919425301"/>
    <n v="14.401590201784968"/>
    <n v="14.648154717640333"/>
    <n v="1.0488293457825562"/>
    <n v="15.696984063422889"/>
    <n v="0"/>
    <n v="0"/>
    <n v="0"/>
    <n v="15.696984063422889"/>
  </r>
  <r>
    <x v="0"/>
    <d v="2025-02-05T00:00:00"/>
    <d v="2025-02-24T00:00:00"/>
    <x v="6"/>
    <n v="9"/>
    <n v="89"/>
    <n v="0.24830327934112015"/>
    <n v="0.50085767102457412"/>
    <n v="44.5763327211871"/>
    <n v="22.098991861359693"/>
    <n v="22.477340859827407"/>
    <n v="1.6094105478387497"/>
    <n v="24.086751407666156"/>
    <n v="0"/>
    <n v="0"/>
    <n v="0"/>
    <n v="24.086751407666156"/>
  </r>
  <r>
    <x v="1"/>
    <d v="2025-03-05T00:00:00"/>
    <d v="2025-03-24T00:00:00"/>
    <x v="6"/>
    <n v="9"/>
    <n v="102"/>
    <n v="0.24830327934112015"/>
    <n v="0.50085767102457412"/>
    <n v="51.087482444506563"/>
    <n v="25.326934492794255"/>
    <n v="25.760547951712308"/>
    <n v="1.8444929874107021"/>
    <n v="27.605040939123011"/>
    <n v="0"/>
    <n v="0"/>
    <n v="0"/>
    <n v="27.605040939123011"/>
  </r>
  <r>
    <x v="2"/>
    <d v="2025-04-03T00:00:00"/>
    <d v="2025-04-24T00:00:00"/>
    <x v="6"/>
    <n v="9"/>
    <n v="64"/>
    <n v="0.24830327934112015"/>
    <n v="0.50085767102457412"/>
    <n v="32.054890945572744"/>
    <n v="15.891409877831689"/>
    <n v="16.163481067741053"/>
    <n v="1.1573289332773031"/>
    <n v="17.320810001018355"/>
    <n v="0"/>
    <n v="0"/>
    <n v="0"/>
    <n v="17.320810001018355"/>
  </r>
  <r>
    <x v="3"/>
    <d v="2025-05-05T00:00:00"/>
    <d v="2025-05-26T00:00:00"/>
    <x v="6"/>
    <n v="9"/>
    <n v="71"/>
    <n v="0.24830327934112015"/>
    <n v="0.50085767102457412"/>
    <n v="35.560894642744763"/>
    <n v="17.629532833219532"/>
    <n v="17.931361809525232"/>
    <n v="1.2839117853545083"/>
    <n v="19.21527359487974"/>
    <n v="0"/>
    <n v="0"/>
    <n v="0"/>
    <n v="19.21527359487974"/>
  </r>
  <r>
    <x v="4"/>
    <d v="2025-06-04T00:00:00"/>
    <d v="2025-06-24T00:00:00"/>
    <x v="6"/>
    <n v="9"/>
    <n v="108"/>
    <n v="0.24830327934112015"/>
    <n v="0.50085767102457412"/>
    <n v="54.092628470654006"/>
    <n v="26.816754168840976"/>
    <n v="27.27587430181303"/>
    <n v="1.9529925749054493"/>
    <n v="29.228866876718477"/>
    <n v="0"/>
    <n v="0"/>
    <n v="0"/>
    <n v="29.228866876718477"/>
  </r>
  <r>
    <x v="5"/>
    <d v="2025-07-03T00:00:00"/>
    <d v="2025-07-24T00:00:00"/>
    <x v="6"/>
    <n v="9"/>
    <n v="130"/>
    <n v="0.24830327934112015"/>
    <n v="0.50085767102457412"/>
    <n v="65.11149723319464"/>
    <n v="32.279426314345621"/>
    <n v="32.83207091884902"/>
    <n v="2.3508243957195223"/>
    <n v="35.18289531456854"/>
    <n v="0"/>
    <n v="0"/>
    <n v="0"/>
    <n v="35.18289531456854"/>
  </r>
  <r>
    <x v="6"/>
    <d v="2025-08-05T00:00:00"/>
    <d v="2025-08-25T00:00:00"/>
    <x v="6"/>
    <n v="9"/>
    <n v="151"/>
    <n v="0.24830327934112015"/>
    <n v="0.50085767102457412"/>
    <n v="75.629508324710699"/>
    <n v="37.493795180509146"/>
    <n v="38.135713144201553"/>
    <n v="2.7305729519511375"/>
    <n v="40.866286096152692"/>
    <n v="0"/>
    <n v="0"/>
    <n v="0"/>
    <n v="40.866286096152692"/>
  </r>
  <r>
    <x v="7"/>
    <d v="2025-09-04T00:00:00"/>
    <d v="2025-09-24T00:00:00"/>
    <x v="6"/>
    <n v="9"/>
    <n v="145"/>
    <n v="0.24830327934112015"/>
    <n v="0.50085767102457412"/>
    <n v="72.624362298563241"/>
    <n v="36.003975504462424"/>
    <n v="36.620386794100817"/>
    <n v="2.6220733644563898"/>
    <n v="39.242460158557208"/>
    <n v="0"/>
    <n v="0"/>
    <n v="0"/>
    <n v="39.242460158557208"/>
  </r>
  <r>
    <x v="8"/>
    <d v="2025-10-03T00:00:00"/>
    <d v="2025-10-24T00:00:00"/>
    <x v="6"/>
    <n v="9"/>
    <n v="126"/>
    <n v="0.24830327934112015"/>
    <n v="0.50085767102457412"/>
    <n v="63.108066549096343"/>
    <n v="31.286213196981137"/>
    <n v="31.821853352115205"/>
    <n v="2.2784913373896911"/>
    <n v="34.100344689504894"/>
    <n v="0"/>
    <n v="0"/>
    <n v="0"/>
    <n v="34.100344689504894"/>
  </r>
  <r>
    <x v="9"/>
    <d v="2025-11-05T00:00:00"/>
    <d v="2025-11-24T00:00:00"/>
    <x v="6"/>
    <n v="9"/>
    <n v="106"/>
    <n v="0.24830327934112015"/>
    <n v="0.50085767102457412"/>
    <n v="53.090913128604861"/>
    <n v="26.320147610158735"/>
    <n v="26.770765518446126"/>
    <n v="1.9168260457405335"/>
    <n v="28.687591564186661"/>
    <n v="0"/>
    <n v="0"/>
    <n v="0"/>
    <n v="28.687591564186661"/>
  </r>
  <r>
    <x v="10"/>
    <d v="2025-12-03T00:00:00"/>
    <d v="2025-12-24T00:00:00"/>
    <x v="6"/>
    <n v="9"/>
    <n v="67"/>
    <n v="0.24830327934112015"/>
    <n v="0.50085767102457412"/>
    <n v="33.557463958646466"/>
    <n v="16.636319715855048"/>
    <n v="16.921144242791417"/>
    <n v="1.2115787270246769"/>
    <n v="18.132722969816093"/>
    <n v="0"/>
    <n v="0"/>
    <n v="0"/>
    <n v="18.132722969816093"/>
  </r>
  <r>
    <x v="11"/>
    <d v="2026-01-06T00:00:00"/>
    <d v="2026-01-26T00:00:00"/>
    <x v="6"/>
    <n v="9"/>
    <n v="82"/>
    <n v="0.24830327934112015"/>
    <n v="0.50085767102457412"/>
    <n v="41.070329024015081"/>
    <n v="20.360868905971852"/>
    <n v="20.709460118043229"/>
    <n v="1.4828276957615447"/>
    <n v="22.192287813804775"/>
    <n v="0"/>
    <n v="0"/>
    <n v="0"/>
    <n v="22.192287813804775"/>
  </r>
  <r>
    <x v="0"/>
    <d v="2025-02-05T00:00:00"/>
    <d v="2025-02-24T00:00:00"/>
    <x v="7"/>
    <n v="9"/>
    <n v="70"/>
    <n v="0.24830327934112015"/>
    <n v="0.50085767102457412"/>
    <n v="35.060036971720187"/>
    <n v="17.381229553878409"/>
    <n v="17.678807417841778"/>
    <n v="1.2658285207720505"/>
    <n v="18.944635938613828"/>
    <n v="0"/>
    <n v="0"/>
    <n v="0"/>
    <n v="18.944635938613828"/>
  </r>
  <r>
    <x v="1"/>
    <d v="2025-03-05T00:00:00"/>
    <d v="2025-03-24T00:00:00"/>
    <x v="7"/>
    <n v="9"/>
    <n v="50"/>
    <n v="0.24830327934112015"/>
    <n v="0.50085767102457412"/>
    <n v="25.042883551228705"/>
    <n v="12.415163967056007"/>
    <n v="12.627719584172699"/>
    <n v="0.90416322912289315"/>
    <n v="13.531882813295592"/>
    <n v="0"/>
    <n v="0"/>
    <n v="0"/>
    <n v="13.531882813295592"/>
  </r>
  <r>
    <x v="2"/>
    <d v="2025-04-03T00:00:00"/>
    <d v="2025-04-24T00:00:00"/>
    <x v="7"/>
    <n v="9"/>
    <n v="67"/>
    <n v="0.24830327934112015"/>
    <n v="0.50085767102457412"/>
    <n v="33.557463958646466"/>
    <n v="16.636319715855048"/>
    <n v="16.921144242791417"/>
    <n v="1.2115787270246769"/>
    <n v="18.132722969816093"/>
    <n v="0"/>
    <n v="0"/>
    <n v="0"/>
    <n v="18.132722969816093"/>
  </r>
  <r>
    <x v="3"/>
    <d v="2025-05-05T00:00:00"/>
    <d v="2025-05-26T00:00:00"/>
    <x v="7"/>
    <n v="9"/>
    <n v="71"/>
    <n v="0.24830327934112015"/>
    <n v="0.50085767102457412"/>
    <n v="35.560894642744763"/>
    <n v="17.629532833219532"/>
    <n v="17.931361809525232"/>
    <n v="1.2839117853545083"/>
    <n v="19.21527359487974"/>
    <n v="0"/>
    <n v="0"/>
    <n v="0"/>
    <n v="19.21527359487974"/>
  </r>
  <r>
    <x v="4"/>
    <d v="2025-06-04T00:00:00"/>
    <d v="2025-06-24T00:00:00"/>
    <x v="7"/>
    <n v="9"/>
    <n v="64"/>
    <n v="0.24830327934112015"/>
    <n v="0.50085767102457412"/>
    <n v="32.054890945572744"/>
    <n v="15.891409877831689"/>
    <n v="16.163481067741053"/>
    <n v="1.1573289332773031"/>
    <n v="17.320810001018355"/>
    <n v="0"/>
    <n v="0"/>
    <n v="0"/>
    <n v="17.320810001018355"/>
  </r>
  <r>
    <x v="5"/>
    <d v="2025-07-03T00:00:00"/>
    <d v="2025-07-24T00:00:00"/>
    <x v="7"/>
    <n v="9"/>
    <n v="72"/>
    <n v="0.24830327934112015"/>
    <n v="0.50085767102457412"/>
    <n v="36.06175231376934"/>
    <n v="17.877836112560651"/>
    <n v="18.183916201208689"/>
    <n v="1.3019950499369661"/>
    <n v="19.485911251145655"/>
    <n v="0"/>
    <n v="0"/>
    <n v="0"/>
    <n v="19.485911251145655"/>
  </r>
  <r>
    <x v="6"/>
    <d v="2025-08-05T00:00:00"/>
    <d v="2025-08-25T00:00:00"/>
    <x v="7"/>
    <n v="9"/>
    <n v="11"/>
    <n v="0.24830327934112015"/>
    <n v="0.50085767102457412"/>
    <n v="5.5094343812703155"/>
    <n v="2.7313360727523217"/>
    <n v="2.7780983085179938"/>
    <n v="0.19891591040703652"/>
    <n v="2.9770142189250302"/>
    <n v="0"/>
    <n v="0"/>
    <n v="0"/>
    <n v="2.9770142189250302"/>
  </r>
  <r>
    <x v="7"/>
    <d v="2025-09-04T00:00:00"/>
    <d v="2025-09-24T00:00:00"/>
    <x v="7"/>
    <n v="9"/>
    <n v="62"/>
    <n v="0.24830327934112015"/>
    <n v="0.50085767102457412"/>
    <n v="31.053175603523595"/>
    <n v="15.39480331914945"/>
    <n v="15.658372284374146"/>
    <n v="1.1211624041123875"/>
    <n v="16.779534688486532"/>
    <n v="0"/>
    <n v="0"/>
    <n v="0"/>
    <n v="16.779534688486532"/>
  </r>
  <r>
    <x v="8"/>
    <d v="2025-10-03T00:00:00"/>
    <d v="2025-10-24T00:00:00"/>
    <x v="7"/>
    <n v="9"/>
    <n v="72"/>
    <n v="0.24830327934112015"/>
    <n v="0.50085767102457412"/>
    <n v="36.06175231376934"/>
    <n v="17.877836112560651"/>
    <n v="18.183916201208689"/>
    <n v="1.3019950499369661"/>
    <n v="19.485911251145655"/>
    <n v="0"/>
    <n v="0"/>
    <n v="0"/>
    <n v="19.485911251145655"/>
  </r>
  <r>
    <x v="9"/>
    <d v="2025-11-05T00:00:00"/>
    <d v="2025-11-24T00:00:00"/>
    <x v="7"/>
    <n v="9"/>
    <n v="72"/>
    <n v="0.24830327934112015"/>
    <n v="0.50085767102457412"/>
    <n v="36.06175231376934"/>
    <n v="17.877836112560651"/>
    <n v="18.183916201208689"/>
    <n v="1.3019950499369661"/>
    <n v="19.485911251145655"/>
    <n v="0"/>
    <n v="0"/>
    <n v="0"/>
    <n v="19.485911251145655"/>
  </r>
  <r>
    <x v="10"/>
    <d v="2025-12-03T00:00:00"/>
    <d v="2025-12-24T00:00:00"/>
    <x v="7"/>
    <n v="9"/>
    <n v="67"/>
    <n v="0.24830327934112015"/>
    <n v="0.50085767102457412"/>
    <n v="33.557463958646466"/>
    <n v="16.636319715855048"/>
    <n v="16.921144242791417"/>
    <n v="1.2115787270246769"/>
    <n v="18.132722969816093"/>
    <n v="0"/>
    <n v="0"/>
    <n v="0"/>
    <n v="18.132722969816093"/>
  </r>
  <r>
    <x v="11"/>
    <d v="2026-01-06T00:00:00"/>
    <d v="2026-01-26T00:00:00"/>
    <x v="7"/>
    <n v="9"/>
    <n v="68"/>
    <n v="0.24830327934112015"/>
    <n v="0.50085767102457412"/>
    <n v="34.058321629671042"/>
    <n v="16.884622995196171"/>
    <n v="17.173698634474871"/>
    <n v="1.2296619916071345"/>
    <n v="18.403360626082005"/>
    <n v="0"/>
    <n v="0"/>
    <n v="0"/>
    <n v="18.403360626082005"/>
  </r>
  <r>
    <x v="0"/>
    <d v="2025-02-05T00:00:00"/>
    <d v="2025-02-24T00:00:00"/>
    <x v="8"/>
    <n v="9"/>
    <n v="1315"/>
    <n v="0.24830327934112015"/>
    <n v="0.50085767102457412"/>
    <n v="658.62783739731492"/>
    <n v="326.51881233357301"/>
    <n v="332.10902506374191"/>
    <n v="23.77949292593209"/>
    <n v="355.88851798967403"/>
    <n v="0"/>
    <n v="0"/>
    <n v="0"/>
    <n v="355.88851798967403"/>
  </r>
  <r>
    <x v="1"/>
    <d v="2025-03-05T00:00:00"/>
    <d v="2025-03-24T00:00:00"/>
    <x v="8"/>
    <n v="9"/>
    <n v="1377"/>
    <n v="0.24830327934112015"/>
    <n v="0.50085767102457412"/>
    <n v="689.68101300083856"/>
    <n v="341.91361565272246"/>
    <n v="347.76739734811611"/>
    <n v="24.900655330044476"/>
    <n v="372.66805267816056"/>
    <n v="0"/>
    <n v="0"/>
    <n v="0"/>
    <n v="372.66805267816056"/>
  </r>
  <r>
    <x v="2"/>
    <d v="2025-04-03T00:00:00"/>
    <d v="2025-04-24T00:00:00"/>
    <x v="8"/>
    <n v="9"/>
    <n v="791"/>
    <n v="0.24830327934112015"/>
    <n v="0.50085767102457412"/>
    <n v="396.17841778043811"/>
    <n v="196.40789395882604"/>
    <n v="199.77052382161207"/>
    <n v="14.30386228472417"/>
    <n v="214.07438610633625"/>
    <n v="0"/>
    <n v="0"/>
    <n v="0"/>
    <n v="214.07438610633625"/>
  </r>
  <r>
    <x v="3"/>
    <d v="2025-05-05T00:00:00"/>
    <d v="2025-05-26T00:00:00"/>
    <x v="8"/>
    <n v="9"/>
    <n v="603"/>
    <n v="0.24830327934112015"/>
    <n v="0.50085767102457412"/>
    <n v="302.01717562781818"/>
    <n v="149.72687744269544"/>
    <n v="152.29029818512274"/>
    <n v="10.904208543222092"/>
    <n v="163.19450672834483"/>
    <n v="0"/>
    <n v="0"/>
    <n v="0"/>
    <n v="163.19450672834483"/>
  </r>
  <r>
    <x v="4"/>
    <d v="2025-06-04T00:00:00"/>
    <d v="2025-06-24T00:00:00"/>
    <x v="8"/>
    <n v="9"/>
    <n v="738"/>
    <n v="0.24830327934112015"/>
    <n v="0.50085767102457412"/>
    <n v="369.6329612161357"/>
    <n v="183.24782015374666"/>
    <n v="186.38514106238904"/>
    <n v="13.345449261853902"/>
    <n v="199.73059032424294"/>
    <n v="0"/>
    <n v="0"/>
    <n v="0"/>
    <n v="199.73059032424294"/>
  </r>
  <r>
    <x v="5"/>
    <d v="2025-07-03T00:00:00"/>
    <d v="2025-07-24T00:00:00"/>
    <x v="8"/>
    <n v="9"/>
    <n v="849"/>
    <n v="0.24830327934112015"/>
    <n v="0.50085767102457412"/>
    <n v="425.22816269986345"/>
    <n v="210.80948416061099"/>
    <n v="214.41867853925245"/>
    <n v="15.352691630506724"/>
    <n v="229.77137016975917"/>
    <n v="0"/>
    <n v="0"/>
    <n v="0"/>
    <n v="229.77137016975917"/>
  </r>
  <r>
    <x v="6"/>
    <d v="2025-08-05T00:00:00"/>
    <d v="2025-08-25T00:00:00"/>
    <x v="8"/>
    <n v="9"/>
    <n v="978"/>
    <n v="0.24830327934112015"/>
    <n v="0.50085767102457412"/>
    <n v="489.83880226203348"/>
    <n v="242.84060719561549"/>
    <n v="246.99819506641799"/>
    <n v="17.685432761643792"/>
    <n v="264.68362782806179"/>
    <n v="0"/>
    <n v="0"/>
    <n v="0"/>
    <n v="264.68362782806179"/>
  </r>
  <r>
    <x v="7"/>
    <d v="2025-09-04T00:00:00"/>
    <d v="2025-09-24T00:00:00"/>
    <x v="8"/>
    <n v="9"/>
    <n v="1000"/>
    <n v="0.24830327934112015"/>
    <n v="0.50085767102457412"/>
    <n v="500.85767102457413"/>
    <n v="248.30327934112015"/>
    <n v="252.55439168345399"/>
    <n v="18.083264582457865"/>
    <n v="270.63765626591186"/>
    <n v="0"/>
    <n v="0"/>
    <n v="0"/>
    <n v="270.63765626591186"/>
  </r>
  <r>
    <x v="8"/>
    <d v="2025-10-03T00:00:00"/>
    <d v="2025-10-24T00:00:00"/>
    <x v="8"/>
    <n v="9"/>
    <n v="844"/>
    <n v="0.24830327934112015"/>
    <n v="0.50085767102457412"/>
    <n v="422.72387434474058"/>
    <n v="209.56796776390541"/>
    <n v="213.15590658083516"/>
    <n v="15.262275307594438"/>
    <n v="228.41818188842961"/>
    <n v="0"/>
    <n v="0"/>
    <n v="0"/>
    <n v="228.41818188842961"/>
  </r>
  <r>
    <x v="9"/>
    <d v="2025-11-05T00:00:00"/>
    <d v="2025-11-24T00:00:00"/>
    <x v="8"/>
    <n v="9"/>
    <n v="760"/>
    <n v="0.24830327934112015"/>
    <n v="0.50085767102457412"/>
    <n v="380.65182997867635"/>
    <n v="188.71049229925131"/>
    <n v="191.94133767942503"/>
    <n v="13.743281082667977"/>
    <n v="205.68461876209301"/>
    <n v="0"/>
    <n v="0"/>
    <n v="0"/>
    <n v="205.68461876209301"/>
  </r>
  <r>
    <x v="10"/>
    <d v="2025-12-03T00:00:00"/>
    <d v="2025-12-24T00:00:00"/>
    <x v="8"/>
    <n v="9"/>
    <n v="748"/>
    <n v="0.24830327934112015"/>
    <n v="0.50085767102457412"/>
    <n v="374.64153792638143"/>
    <n v="185.73085294715787"/>
    <n v="188.91068497922356"/>
    <n v="13.526281907678481"/>
    <n v="202.43696688690204"/>
    <n v="0"/>
    <n v="0"/>
    <n v="0"/>
    <n v="202.43696688690204"/>
  </r>
  <r>
    <x v="11"/>
    <d v="2026-01-06T00:00:00"/>
    <d v="2026-01-26T00:00:00"/>
    <x v="8"/>
    <n v="9"/>
    <n v="1070"/>
    <n v="0.24830327934112015"/>
    <n v="0.50085767102457412"/>
    <n v="535.91770799629433"/>
    <n v="265.68450889499854"/>
    <n v="270.23319910129578"/>
    <n v="19.349093103229915"/>
    <n v="289.58229220452569"/>
    <n v="0"/>
    <n v="0"/>
    <n v="0"/>
    <n v="289.58229220452569"/>
  </r>
  <r>
    <x v="0"/>
    <d v="2025-02-05T00:00:00"/>
    <d v="2025-02-24T00:00:00"/>
    <x v="9"/>
    <n v="9"/>
    <n v="7"/>
    <n v="0.24830327934112015"/>
    <n v="0.50085767102457412"/>
    <n v="3.506003697172019"/>
    <n v="1.738122955387841"/>
    <n v="1.767880741784178"/>
    <n v="0.12658285207720504"/>
    <n v="1.894463593861383"/>
    <n v="0"/>
    <n v="0"/>
    <n v="0"/>
    <n v="1.894463593861383"/>
  </r>
  <r>
    <x v="1"/>
    <d v="2025-03-05T00:00:00"/>
    <d v="2025-03-24T00:00:00"/>
    <x v="9"/>
    <n v="9"/>
    <n v="8"/>
    <n v="0.24830327934112015"/>
    <n v="0.50085767102457412"/>
    <n v="4.006861368196593"/>
    <n v="1.9864262347289612"/>
    <n v="2.0204351334676316"/>
    <n v="0.14466611665966289"/>
    <n v="2.1651012501272944"/>
    <n v="0"/>
    <n v="0"/>
    <n v="0"/>
    <n v="2.1651012501272944"/>
  </r>
  <r>
    <x v="2"/>
    <d v="2025-04-03T00:00:00"/>
    <d v="2025-04-24T00:00:00"/>
    <x v="9"/>
    <n v="9"/>
    <n v="7"/>
    <n v="0.24830327934112015"/>
    <n v="0.50085767102457412"/>
    <n v="3.506003697172019"/>
    <n v="1.738122955387841"/>
    <n v="1.767880741784178"/>
    <n v="0.12658285207720504"/>
    <n v="1.894463593861383"/>
    <n v="0"/>
    <n v="0"/>
    <n v="0"/>
    <n v="1.894463593861383"/>
  </r>
  <r>
    <x v="3"/>
    <d v="2025-05-05T00:00:00"/>
    <d v="2025-05-26T00:00:00"/>
    <x v="9"/>
    <n v="9"/>
    <n v="3"/>
    <n v="0.24830327934112015"/>
    <n v="0.50085767102457412"/>
    <n v="1.5025730130737225"/>
    <n v="0.74490983802336042"/>
    <n v="0.75766317505036207"/>
    <n v="5.4249793747373591E-2"/>
    <n v="0.81191296879773567"/>
    <n v="0"/>
    <n v="0"/>
    <n v="0"/>
    <n v="0.81191296879773567"/>
  </r>
  <r>
    <x v="4"/>
    <d v="2025-06-04T00:00:00"/>
    <d v="2025-06-24T00:00:00"/>
    <x v="9"/>
    <n v="9"/>
    <n v="5"/>
    <n v="0.24830327934112015"/>
    <n v="0.50085767102457412"/>
    <n v="2.5042883551228705"/>
    <n v="1.2415163967056007"/>
    <n v="1.2627719584172699"/>
    <n v="9.0416322912289307E-2"/>
    <n v="1.3531882813295593"/>
    <n v="0"/>
    <n v="0"/>
    <n v="0"/>
    <n v="1.3531882813295593"/>
  </r>
  <r>
    <x v="5"/>
    <d v="2025-07-03T00:00:00"/>
    <d v="2025-07-24T00:00:00"/>
    <x v="9"/>
    <n v="9"/>
    <n v="10"/>
    <n v="0.24830327934112015"/>
    <n v="0.50085767102457412"/>
    <n v="5.008576710245741"/>
    <n v="2.4830327934112013"/>
    <n v="2.5255439168345397"/>
    <n v="0.18083264582457861"/>
    <n v="2.7063765626591185"/>
    <n v="0"/>
    <n v="0"/>
    <n v="0"/>
    <n v="2.7063765626591185"/>
  </r>
  <r>
    <x v="6"/>
    <d v="2025-08-05T00:00:00"/>
    <d v="2025-08-25T00:00:00"/>
    <x v="9"/>
    <n v="9"/>
    <n v="17"/>
    <n v="0.24830327934112015"/>
    <n v="0.50085767102457412"/>
    <n v="8.5145804074177605"/>
    <n v="4.2211557487990428"/>
    <n v="4.2934246586187177"/>
    <n v="0.30741549790178363"/>
    <n v="4.6008401565205013"/>
    <n v="0"/>
    <n v="0"/>
    <n v="0"/>
    <n v="4.6008401565205013"/>
  </r>
  <r>
    <x v="7"/>
    <d v="2025-09-04T00:00:00"/>
    <d v="2025-09-24T00:00:00"/>
    <x v="9"/>
    <n v="9"/>
    <n v="16"/>
    <n v="0.24830327934112015"/>
    <n v="0.50085767102457412"/>
    <n v="8.013722736393186"/>
    <n v="3.9728524694579224"/>
    <n v="4.0408702669352632"/>
    <n v="0.28933223331932578"/>
    <n v="4.3302025002545887"/>
    <n v="0"/>
    <n v="0"/>
    <n v="0"/>
    <n v="4.3302025002545887"/>
  </r>
  <r>
    <x v="8"/>
    <d v="2025-10-03T00:00:00"/>
    <d v="2025-10-24T00:00:00"/>
    <x v="9"/>
    <n v="9"/>
    <n v="8"/>
    <n v="0.24830327934112015"/>
    <n v="0.50085767102457412"/>
    <n v="4.006861368196593"/>
    <n v="1.9864262347289612"/>
    <n v="2.0204351334676316"/>
    <n v="0.14466611665966289"/>
    <n v="2.1651012501272944"/>
    <n v="0"/>
    <n v="0"/>
    <n v="0"/>
    <n v="2.1651012501272944"/>
  </r>
  <r>
    <x v="9"/>
    <d v="2025-11-05T00:00:00"/>
    <d v="2025-11-24T00:00:00"/>
    <x v="9"/>
    <n v="9"/>
    <n v="8"/>
    <n v="0.24830327934112015"/>
    <n v="0.50085767102457412"/>
    <n v="4.006861368196593"/>
    <n v="1.9864262347289612"/>
    <n v="2.0204351334676316"/>
    <n v="0.14466611665966289"/>
    <n v="2.1651012501272944"/>
    <n v="0"/>
    <n v="0"/>
    <n v="0"/>
    <n v="2.1651012501272944"/>
  </r>
  <r>
    <x v="10"/>
    <d v="2025-12-03T00:00:00"/>
    <d v="2025-12-24T00:00:00"/>
    <x v="9"/>
    <n v="9"/>
    <n v="6"/>
    <n v="0.24830327934112015"/>
    <n v="0.50085767102457412"/>
    <n v="3.005146026147445"/>
    <n v="1.4898196760467208"/>
    <n v="1.5153263501007241"/>
    <n v="0.10849958749474718"/>
    <n v="1.6238259375954713"/>
    <n v="0"/>
    <n v="0"/>
    <n v="0"/>
    <n v="1.6238259375954713"/>
  </r>
  <r>
    <x v="11"/>
    <d v="2026-01-06T00:00:00"/>
    <d v="2026-01-26T00:00:00"/>
    <x v="9"/>
    <n v="9"/>
    <n v="7"/>
    <n v="0.24830327934112015"/>
    <n v="0.50085767102457412"/>
    <n v="3.506003697172019"/>
    <n v="1.738122955387841"/>
    <n v="1.767880741784178"/>
    <n v="0.12658285207720504"/>
    <n v="1.894463593861383"/>
    <n v="0"/>
    <n v="0"/>
    <n v="0"/>
    <n v="1.894463593861383"/>
  </r>
  <r>
    <x v="0"/>
    <d v="2025-02-05T00:00:00"/>
    <d v="2025-02-24T00:00:00"/>
    <x v="10"/>
    <n v="9"/>
    <n v="2"/>
    <n v="0.24830327934112015"/>
    <n v="0.50085767102457412"/>
    <n v="1.0017153420491482"/>
    <n v="0.4966065586822403"/>
    <n v="0.5051087833669079"/>
    <n v="3.6166529164915723E-2"/>
    <n v="0.54127531253182359"/>
    <n v="0"/>
    <n v="0"/>
    <n v="0"/>
    <n v="0.54127531253182359"/>
  </r>
  <r>
    <x v="1"/>
    <d v="2025-03-05T00:00:00"/>
    <d v="2025-03-24T00:00:00"/>
    <x v="10"/>
    <n v="9"/>
    <n v="3"/>
    <n v="0.24830327934112015"/>
    <n v="0.50085767102457412"/>
    <n v="1.5025730130737225"/>
    <n v="0.74490983802336042"/>
    <n v="0.75766317505036207"/>
    <n v="5.4249793747373591E-2"/>
    <n v="0.81191296879773567"/>
    <n v="0"/>
    <n v="0"/>
    <n v="0"/>
    <n v="0.81191296879773567"/>
  </r>
  <r>
    <x v="2"/>
    <d v="2025-04-03T00:00:00"/>
    <d v="2025-04-24T00:00:00"/>
    <x v="10"/>
    <n v="9"/>
    <n v="2"/>
    <n v="0.24830327934112015"/>
    <n v="0.50085767102457412"/>
    <n v="1.0017153420491482"/>
    <n v="0.4966065586822403"/>
    <n v="0.5051087833669079"/>
    <n v="3.6166529164915723E-2"/>
    <n v="0.54127531253182359"/>
    <n v="0"/>
    <n v="0"/>
    <n v="0"/>
    <n v="0.54127531253182359"/>
  </r>
  <r>
    <x v="3"/>
    <d v="2025-05-05T00:00:00"/>
    <d v="2025-05-26T00:00:00"/>
    <x v="10"/>
    <n v="9"/>
    <n v="1"/>
    <n v="0.24830327934112015"/>
    <n v="0.50085767102457412"/>
    <n v="0.50085767102457412"/>
    <n v="0.24830327934112015"/>
    <n v="0.25255439168345395"/>
    <n v="1.8083264582457861E-2"/>
    <n v="0.2706376562659118"/>
    <n v="0"/>
    <n v="0"/>
    <n v="0"/>
    <n v="0.2706376562659118"/>
  </r>
  <r>
    <x v="4"/>
    <d v="2025-06-04T00:00:00"/>
    <d v="2025-06-24T00:00:00"/>
    <x v="10"/>
    <n v="9"/>
    <n v="2"/>
    <n v="0.24830327934112015"/>
    <n v="0.50085767102457412"/>
    <n v="1.0017153420491482"/>
    <n v="0.4966065586822403"/>
    <n v="0.5051087833669079"/>
    <n v="3.6166529164915723E-2"/>
    <n v="0.54127531253182359"/>
    <n v="0"/>
    <n v="0"/>
    <n v="0"/>
    <n v="0.54127531253182359"/>
  </r>
  <r>
    <x v="5"/>
    <d v="2025-07-03T00:00:00"/>
    <d v="2025-07-24T00:00:00"/>
    <x v="10"/>
    <n v="9"/>
    <n v="3"/>
    <n v="0.24830327934112015"/>
    <n v="0.50085767102457412"/>
    <n v="1.5025730130737225"/>
    <n v="0.74490983802336042"/>
    <n v="0.75766317505036207"/>
    <n v="5.4249793747373591E-2"/>
    <n v="0.81191296879773567"/>
    <n v="0"/>
    <n v="0"/>
    <n v="0"/>
    <n v="0.81191296879773567"/>
  </r>
  <r>
    <x v="6"/>
    <d v="2025-08-05T00:00:00"/>
    <d v="2025-08-25T00:00:00"/>
    <x v="10"/>
    <n v="9"/>
    <n v="7"/>
    <n v="0.24830327934112015"/>
    <n v="0.50085767102457412"/>
    <n v="3.506003697172019"/>
    <n v="1.738122955387841"/>
    <n v="1.767880741784178"/>
    <n v="0.12658285207720504"/>
    <n v="1.894463593861383"/>
    <n v="0"/>
    <n v="0"/>
    <n v="0"/>
    <n v="1.894463593861383"/>
  </r>
  <r>
    <x v="7"/>
    <d v="2025-09-04T00:00:00"/>
    <d v="2025-09-24T00:00:00"/>
    <x v="10"/>
    <n v="9"/>
    <n v="5"/>
    <n v="0.24830327934112015"/>
    <n v="0.50085767102457412"/>
    <n v="2.5042883551228705"/>
    <n v="1.2415163967056007"/>
    <n v="1.2627719584172699"/>
    <n v="9.0416322912289307E-2"/>
    <n v="1.3531882813295593"/>
    <n v="0"/>
    <n v="0"/>
    <n v="0"/>
    <n v="1.3531882813295593"/>
  </r>
  <r>
    <x v="8"/>
    <d v="2025-10-03T00:00:00"/>
    <d v="2025-10-24T00:00:00"/>
    <x v="10"/>
    <n v="9"/>
    <n v="2"/>
    <n v="0.24830327934112015"/>
    <n v="0.50085767102457412"/>
    <n v="1.0017153420491482"/>
    <n v="0.4966065586822403"/>
    <n v="0.5051087833669079"/>
    <n v="3.6166529164915723E-2"/>
    <n v="0.54127531253182359"/>
    <n v="0"/>
    <n v="0"/>
    <n v="0"/>
    <n v="0.54127531253182359"/>
  </r>
  <r>
    <x v="9"/>
    <d v="2025-11-05T00:00:00"/>
    <d v="2025-11-24T00:00:00"/>
    <x v="10"/>
    <n v="9"/>
    <n v="3"/>
    <n v="0.24830327934112015"/>
    <n v="0.50085767102457412"/>
    <n v="1.5025730130737225"/>
    <n v="0.74490983802336042"/>
    <n v="0.75766317505036207"/>
    <n v="5.4249793747373591E-2"/>
    <n v="0.81191296879773567"/>
    <n v="0"/>
    <n v="0"/>
    <n v="0"/>
    <n v="0.81191296879773567"/>
  </r>
  <r>
    <x v="10"/>
    <d v="2025-12-03T00:00:00"/>
    <d v="2025-12-24T00:00:00"/>
    <x v="10"/>
    <n v="9"/>
    <n v="1"/>
    <n v="0.24830327934112015"/>
    <n v="0.50085767102457412"/>
    <n v="0.50085767102457412"/>
    <n v="0.24830327934112015"/>
    <n v="0.25255439168345395"/>
    <n v="1.8083264582457861E-2"/>
    <n v="0.2706376562659118"/>
    <n v="0"/>
    <n v="0"/>
    <n v="0"/>
    <n v="0.2706376562659118"/>
  </r>
  <r>
    <x v="11"/>
    <d v="2026-01-06T00:00:00"/>
    <d v="2026-01-26T00:00:00"/>
    <x v="10"/>
    <n v="9"/>
    <n v="2"/>
    <n v="0.24830327934112015"/>
    <n v="0.50085767102457412"/>
    <n v="1.0017153420491482"/>
    <n v="0.4966065586822403"/>
    <n v="0.5051087833669079"/>
    <n v="3.6166529164915723E-2"/>
    <n v="0.54127531253182359"/>
    <n v="0"/>
    <n v="0"/>
    <n v="0"/>
    <n v="0.54127531253182359"/>
  </r>
  <r>
    <x v="0"/>
    <d v="2025-02-05T00:00:00"/>
    <d v="2025-02-24T00:00:00"/>
    <x v="11"/>
    <n v="9"/>
    <n v="137"/>
    <n v="0.24830327934112015"/>
    <n v="0.50085767102457412"/>
    <n v="68.61750093036666"/>
    <n v="34.017549269733458"/>
    <n v="34.599951660633202"/>
    <n v="2.4774072477967271"/>
    <n v="37.077358908429929"/>
    <n v="0"/>
    <n v="0"/>
    <n v="0"/>
    <n v="37.077358908429929"/>
  </r>
  <r>
    <x v="1"/>
    <d v="2025-03-05T00:00:00"/>
    <d v="2025-03-24T00:00:00"/>
    <x v="11"/>
    <n v="9"/>
    <n v="156"/>
    <n v="0.24830327934112015"/>
    <n v="0.50085767102457412"/>
    <n v="78.133796679833566"/>
    <n v="38.735311577214745"/>
    <n v="39.398485102618821"/>
    <n v="2.8209892748634267"/>
    <n v="42.21947437748225"/>
    <n v="0"/>
    <n v="0"/>
    <n v="0"/>
    <n v="42.21947437748225"/>
  </r>
  <r>
    <x v="2"/>
    <d v="2025-04-03T00:00:00"/>
    <d v="2025-04-24T00:00:00"/>
    <x v="11"/>
    <n v="9"/>
    <n v="113"/>
    <n v="0.24830327934112015"/>
    <n v="0.50085767102457412"/>
    <n v="56.596916825776873"/>
    <n v="28.058270565546575"/>
    <n v="28.538646260230298"/>
    <n v="2.0434088978177383"/>
    <n v="30.582055158048036"/>
    <n v="0"/>
    <n v="0"/>
    <n v="0"/>
    <n v="30.582055158048036"/>
  </r>
  <r>
    <x v="3"/>
    <d v="2025-05-05T00:00:00"/>
    <d v="2025-05-26T00:00:00"/>
    <x v="11"/>
    <n v="9"/>
    <n v="112"/>
    <n v="0.24830327934112015"/>
    <n v="0.50085767102457412"/>
    <n v="56.096059154752304"/>
    <n v="27.809967286205456"/>
    <n v="28.286091868546848"/>
    <n v="2.0253256332352807"/>
    <n v="30.311417501782127"/>
    <n v="0"/>
    <n v="0"/>
    <n v="0"/>
    <n v="30.311417501782127"/>
  </r>
  <r>
    <x v="4"/>
    <d v="2025-06-04T00:00:00"/>
    <d v="2025-06-24T00:00:00"/>
    <x v="11"/>
    <n v="9"/>
    <n v="142"/>
    <n v="0.24830327934112015"/>
    <n v="0.50085767102457412"/>
    <n v="71.121789285489527"/>
    <n v="35.259065666439064"/>
    <n v="35.862723619050463"/>
    <n v="2.5678235707090167"/>
    <n v="38.43054718975948"/>
    <n v="0"/>
    <n v="0"/>
    <n v="0"/>
    <n v="38.43054718975948"/>
  </r>
  <r>
    <x v="5"/>
    <d v="2025-07-03T00:00:00"/>
    <d v="2025-07-24T00:00:00"/>
    <x v="11"/>
    <n v="9"/>
    <n v="165"/>
    <n v="0.24830327934112015"/>
    <n v="0.50085767102457412"/>
    <n v="82.641515719054738"/>
    <n v="40.970041091284827"/>
    <n v="41.671474627769911"/>
    <n v="2.9837386561055474"/>
    <n v="44.655213283875455"/>
    <n v="0"/>
    <n v="0"/>
    <n v="0"/>
    <n v="44.655213283875455"/>
  </r>
  <r>
    <x v="6"/>
    <d v="2025-08-05T00:00:00"/>
    <d v="2025-08-25T00:00:00"/>
    <x v="11"/>
    <n v="9"/>
    <n v="185"/>
    <n v="0.24830327934112015"/>
    <n v="0.50085767102457412"/>
    <n v="92.65866913954622"/>
    <n v="45.93610667810723"/>
    <n v="46.72256246143899"/>
    <n v="3.3454039477547046"/>
    <n v="50.067966409193694"/>
    <n v="0"/>
    <n v="0"/>
    <n v="0"/>
    <n v="50.067966409193694"/>
  </r>
  <r>
    <x v="7"/>
    <d v="2025-09-04T00:00:00"/>
    <d v="2025-09-24T00:00:00"/>
    <x v="11"/>
    <n v="9"/>
    <n v="191"/>
    <n v="0.24830327934112015"/>
    <n v="0.50085767102457412"/>
    <n v="95.663815165693663"/>
    <n v="47.425926354153951"/>
    <n v="48.237888811539712"/>
    <n v="3.4539035352494518"/>
    <n v="51.691792346789164"/>
    <n v="0"/>
    <n v="0"/>
    <n v="0"/>
    <n v="51.691792346789164"/>
  </r>
  <r>
    <x v="8"/>
    <d v="2025-10-03T00:00:00"/>
    <d v="2025-10-24T00:00:00"/>
    <x v="11"/>
    <n v="9"/>
    <n v="140"/>
    <n v="0.24830327934112015"/>
    <n v="0.50085767102457412"/>
    <n v="70.120073943440374"/>
    <n v="34.762459107756818"/>
    <n v="35.357614835683556"/>
    <n v="2.5316570415441011"/>
    <n v="37.889271877227657"/>
    <n v="0"/>
    <n v="0"/>
    <n v="0"/>
    <n v="37.889271877227657"/>
  </r>
  <r>
    <x v="9"/>
    <d v="2025-11-05T00:00:00"/>
    <d v="2025-11-24T00:00:00"/>
    <x v="11"/>
    <n v="9"/>
    <n v="137"/>
    <n v="0.24830327934112015"/>
    <n v="0.50085767102457412"/>
    <n v="68.61750093036666"/>
    <n v="34.017549269733458"/>
    <n v="34.599951660633202"/>
    <n v="2.4774072477967271"/>
    <n v="37.077358908429929"/>
    <n v="0"/>
    <n v="0"/>
    <n v="0"/>
    <n v="37.077358908429929"/>
  </r>
  <r>
    <x v="10"/>
    <d v="2025-12-03T00:00:00"/>
    <d v="2025-12-24T00:00:00"/>
    <x v="11"/>
    <n v="9"/>
    <n v="120"/>
    <n v="0.24830327934112015"/>
    <n v="0.50085767102457412"/>
    <n v="60.102920522948892"/>
    <n v="29.796393520934419"/>
    <n v="30.306527002014473"/>
    <n v="2.1699917498949435"/>
    <n v="32.476518751909417"/>
    <n v="0"/>
    <n v="0"/>
    <n v="0"/>
    <n v="32.476518751909417"/>
  </r>
  <r>
    <x v="11"/>
    <d v="2026-01-06T00:00:00"/>
    <d v="2026-01-26T00:00:00"/>
    <x v="11"/>
    <n v="9"/>
    <n v="128"/>
    <n v="0.24830327934112015"/>
    <n v="0.50085767102457412"/>
    <n v="64.109781891145488"/>
    <n v="31.782819755663379"/>
    <n v="32.326962135482106"/>
    <n v="2.3146578665546063"/>
    <n v="34.64162000203671"/>
    <n v="0"/>
    <n v="0"/>
    <n v="0"/>
    <n v="34.64162000203671"/>
  </r>
  <r>
    <x v="0"/>
    <d v="2025-02-05T00:00:00"/>
    <d v="2025-02-24T00:00:00"/>
    <x v="12"/>
    <n v="9"/>
    <n v="11"/>
    <n v="0.24830327934112015"/>
    <n v="0.50085767102457412"/>
    <n v="5.5094343812703155"/>
    <n v="2.7313360727523217"/>
    <n v="2.7780983085179938"/>
    <n v="0.19891591040703652"/>
    <n v="2.9770142189250302"/>
    <n v="0"/>
    <n v="0"/>
    <n v="0"/>
    <n v="2.9770142189250302"/>
  </r>
  <r>
    <x v="1"/>
    <d v="2025-03-05T00:00:00"/>
    <d v="2025-03-24T00:00:00"/>
    <x v="12"/>
    <n v="9"/>
    <n v="9"/>
    <n v="0.24830327934112015"/>
    <n v="0.50085767102457412"/>
    <n v="4.5077190392211675"/>
    <n v="2.2347295140700814"/>
    <n v="2.2729895251510861"/>
    <n v="0.16274938124212077"/>
    <n v="2.4357389063932069"/>
    <n v="0"/>
    <n v="0"/>
    <n v="0"/>
    <n v="2.4357389063932069"/>
  </r>
  <r>
    <x v="2"/>
    <d v="2025-04-03T00:00:00"/>
    <d v="2025-04-24T00:00:00"/>
    <x v="12"/>
    <n v="9"/>
    <n v="8"/>
    <n v="0.24830327934112015"/>
    <n v="0.50085767102457412"/>
    <n v="4.006861368196593"/>
    <n v="1.9864262347289612"/>
    <n v="2.0204351334676316"/>
    <n v="0.14466611665966289"/>
    <n v="2.1651012501272944"/>
    <n v="0"/>
    <n v="0"/>
    <n v="0"/>
    <n v="2.1651012501272944"/>
  </r>
  <r>
    <x v="3"/>
    <d v="2025-05-05T00:00:00"/>
    <d v="2025-05-26T00:00:00"/>
    <x v="12"/>
    <n v="9"/>
    <n v="10"/>
    <n v="0.24830327934112015"/>
    <n v="0.50085767102457412"/>
    <n v="5.008576710245741"/>
    <n v="2.4830327934112013"/>
    <n v="2.5255439168345397"/>
    <n v="0.18083264582457861"/>
    <n v="2.7063765626591185"/>
    <n v="0"/>
    <n v="0"/>
    <n v="0"/>
    <n v="2.7063765626591185"/>
  </r>
  <r>
    <x v="4"/>
    <d v="2025-06-04T00:00:00"/>
    <d v="2025-06-24T00:00:00"/>
    <x v="12"/>
    <n v="9"/>
    <n v="11"/>
    <n v="0.24830327934112015"/>
    <n v="0.50085767102457412"/>
    <n v="5.5094343812703155"/>
    <n v="2.7313360727523217"/>
    <n v="2.7780983085179938"/>
    <n v="0.19891591040703652"/>
    <n v="2.9770142189250302"/>
    <n v="0"/>
    <n v="0"/>
    <n v="0"/>
    <n v="2.9770142189250302"/>
  </r>
  <r>
    <x v="5"/>
    <d v="2025-07-03T00:00:00"/>
    <d v="2025-07-24T00:00:00"/>
    <x v="12"/>
    <n v="9"/>
    <n v="11"/>
    <n v="0.24830327934112015"/>
    <n v="0.50085767102457412"/>
    <n v="5.5094343812703155"/>
    <n v="2.7313360727523217"/>
    <n v="2.7780983085179938"/>
    <n v="0.19891591040703652"/>
    <n v="2.9770142189250302"/>
    <n v="0"/>
    <n v="0"/>
    <n v="0"/>
    <n v="2.9770142189250302"/>
  </r>
  <r>
    <x v="6"/>
    <d v="2025-08-05T00:00:00"/>
    <d v="2025-08-25T00:00:00"/>
    <x v="12"/>
    <n v="9"/>
    <n v="14"/>
    <n v="0.24830327934112015"/>
    <n v="0.50085767102457412"/>
    <n v="7.012007394344038"/>
    <n v="3.476245910775682"/>
    <n v="3.535761483568356"/>
    <n v="0.25316570415441009"/>
    <n v="3.7889271877227659"/>
    <n v="0"/>
    <n v="0"/>
    <n v="0"/>
    <n v="3.7889271877227659"/>
  </r>
  <r>
    <x v="7"/>
    <d v="2025-09-04T00:00:00"/>
    <d v="2025-09-24T00:00:00"/>
    <x v="12"/>
    <n v="9"/>
    <n v="11"/>
    <n v="0.24830327934112015"/>
    <n v="0.50085767102457412"/>
    <n v="5.5094343812703155"/>
    <n v="2.7313360727523217"/>
    <n v="2.7780983085179938"/>
    <n v="0.19891591040703652"/>
    <n v="2.9770142189250302"/>
    <n v="0"/>
    <n v="0"/>
    <n v="0"/>
    <n v="2.9770142189250302"/>
  </r>
  <r>
    <x v="8"/>
    <d v="2025-10-03T00:00:00"/>
    <d v="2025-10-24T00:00:00"/>
    <x v="12"/>
    <n v="9"/>
    <n v="12"/>
    <n v="0.24830327934112015"/>
    <n v="0.50085767102457412"/>
    <n v="6.0102920522948899"/>
    <n v="2.9796393520934417"/>
    <n v="3.0306527002014483"/>
    <n v="0.21699917498949436"/>
    <n v="3.2476518751909427"/>
    <n v="0"/>
    <n v="0"/>
    <n v="0"/>
    <n v="3.2476518751909427"/>
  </r>
  <r>
    <x v="9"/>
    <d v="2025-11-05T00:00:00"/>
    <d v="2025-11-24T00:00:00"/>
    <x v="12"/>
    <n v="9"/>
    <n v="13"/>
    <n v="0.24830327934112015"/>
    <n v="0.50085767102457412"/>
    <n v="6.5111497233194635"/>
    <n v="3.2279426314345621"/>
    <n v="3.2832070918849015"/>
    <n v="0.23508243957195221"/>
    <n v="3.5182895314568539"/>
    <n v="0"/>
    <n v="0"/>
    <n v="0"/>
    <n v="3.5182895314568539"/>
  </r>
  <r>
    <x v="10"/>
    <d v="2025-12-03T00:00:00"/>
    <d v="2025-12-24T00:00:00"/>
    <x v="12"/>
    <n v="9"/>
    <n v="10"/>
    <n v="0.24830327934112015"/>
    <n v="0.50085767102457412"/>
    <n v="5.008576710245741"/>
    <n v="2.4830327934112013"/>
    <n v="2.5255439168345397"/>
    <n v="0.18083264582457861"/>
    <n v="2.7063765626591185"/>
    <n v="0"/>
    <n v="0"/>
    <n v="0"/>
    <n v="2.7063765626591185"/>
  </r>
  <r>
    <x v="11"/>
    <d v="2026-01-06T00:00:00"/>
    <d v="2026-01-26T00:00:00"/>
    <x v="12"/>
    <n v="9"/>
    <n v="7"/>
    <n v="0.24830327934112015"/>
    <n v="0.50085767102457412"/>
    <n v="3.506003697172019"/>
    <n v="1.738122955387841"/>
    <n v="1.767880741784178"/>
    <n v="0.12658285207720504"/>
    <n v="1.894463593861383"/>
    <n v="0"/>
    <n v="0"/>
    <n v="0"/>
    <n v="1.894463593861383"/>
  </r>
  <r>
    <x v="0"/>
    <d v="2025-02-05T00:00:00"/>
    <d v="2025-02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0.24830327934112015"/>
    <n v="0.50085767102457412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0.24830327934112015"/>
    <n v="0.50085767102457412"/>
    <n v="18.531733827909243"/>
    <n v="9.1872213356214463"/>
    <n v="9.3445124922877962"/>
    <n v="0.66908078955094097"/>
    <n v="10.013593281838737"/>
    <n v="0"/>
    <n v="0"/>
    <n v="0"/>
    <n v="10.013593281838737"/>
  </r>
  <r>
    <x v="1"/>
    <d v="2025-03-05T00:00:00"/>
    <d v="2025-03-24T00:00:00"/>
    <x v="14"/>
    <n v="9"/>
    <n v="42"/>
    <n v="0.24830327934112015"/>
    <n v="0.50085767102457412"/>
    <n v="21.036022183032113"/>
    <n v="10.428737732327047"/>
    <n v="10.607284450705066"/>
    <n v="0.75949711246323015"/>
    <n v="11.366781563168296"/>
    <n v="0"/>
    <n v="0"/>
    <n v="0"/>
    <n v="11.366781563168296"/>
  </r>
  <r>
    <x v="2"/>
    <d v="2025-04-03T00:00:00"/>
    <d v="2025-04-24T00:00:00"/>
    <x v="14"/>
    <n v="9"/>
    <n v="30"/>
    <n v="0.24830327934112015"/>
    <n v="0.50085767102457412"/>
    <n v="15.025730130737223"/>
    <n v="7.4490983802336048"/>
    <n v="7.5766317505036183"/>
    <n v="0.54249793747373587"/>
    <n v="8.1191296879773542"/>
    <n v="0"/>
    <n v="0"/>
    <n v="0"/>
    <n v="8.1191296879773542"/>
  </r>
  <r>
    <x v="3"/>
    <d v="2025-05-05T00:00:00"/>
    <d v="2025-05-26T00:00:00"/>
    <x v="14"/>
    <n v="9"/>
    <n v="32"/>
    <n v="0.24830327934112015"/>
    <n v="0.50085767102457412"/>
    <n v="16.027445472786372"/>
    <n v="7.9457049389158447"/>
    <n v="8.0817405338705264"/>
    <n v="0.57866446663865156"/>
    <n v="8.6604050005091775"/>
    <n v="0"/>
    <n v="0"/>
    <n v="0"/>
    <n v="8.6604050005091775"/>
  </r>
  <r>
    <x v="4"/>
    <d v="2025-06-04T00:00:00"/>
    <d v="2025-06-24T00:00:00"/>
    <x v="14"/>
    <n v="9"/>
    <n v="39"/>
    <n v="0.24830327934112015"/>
    <n v="0.50085767102457412"/>
    <n v="19.533449169958391"/>
    <n v="9.6838278943036862"/>
    <n v="9.8496212756547052"/>
    <n v="0.70524731871585666"/>
    <n v="10.554868594370562"/>
    <n v="0"/>
    <n v="0"/>
    <n v="0"/>
    <n v="10.554868594370562"/>
  </r>
  <r>
    <x v="5"/>
    <d v="2025-07-03T00:00:00"/>
    <d v="2025-07-24T00:00:00"/>
    <x v="14"/>
    <n v="9"/>
    <n v="47"/>
    <n v="0.24830327934112015"/>
    <n v="0.50085767102457412"/>
    <n v="23.540310538154984"/>
    <n v="11.670254129032648"/>
    <n v="11.870056409122336"/>
    <n v="0.84991343537551955"/>
    <n v="12.719969844497856"/>
    <n v="0"/>
    <n v="0"/>
    <n v="0"/>
    <n v="12.719969844497856"/>
  </r>
  <r>
    <x v="6"/>
    <d v="2025-08-05T00:00:00"/>
    <d v="2025-08-25T00:00:00"/>
    <x v="14"/>
    <n v="9"/>
    <n v="53"/>
    <n v="0.24830327934112015"/>
    <n v="0.50085767102457412"/>
    <n v="26.54545656430243"/>
    <n v="13.160073805079367"/>
    <n v="13.385382759223063"/>
    <n v="0.95841302287026675"/>
    <n v="14.343795782093331"/>
    <n v="0"/>
    <n v="0"/>
    <n v="0"/>
    <n v="14.343795782093331"/>
  </r>
  <r>
    <x v="7"/>
    <d v="2025-09-04T00:00:00"/>
    <d v="2025-09-24T00:00:00"/>
    <x v="14"/>
    <n v="9"/>
    <n v="52"/>
    <n v="0.24830327934112015"/>
    <n v="0.50085767102457412"/>
    <n v="26.044598893277854"/>
    <n v="12.911770525738248"/>
    <n v="13.132828367539606"/>
    <n v="0.94032975828780885"/>
    <n v="14.073158125827415"/>
    <n v="0"/>
    <n v="0"/>
    <n v="0"/>
    <n v="14.073158125827415"/>
  </r>
  <r>
    <x v="8"/>
    <d v="2025-10-03T00:00:00"/>
    <d v="2025-10-24T00:00:00"/>
    <x v="14"/>
    <n v="9"/>
    <n v="45"/>
    <n v="0.24830327934112015"/>
    <n v="0.50085767102457412"/>
    <n v="22.538595196105835"/>
    <n v="11.173647570350406"/>
    <n v="11.364947625755429"/>
    <n v="0.81374690621060386"/>
    <n v="12.178694531966032"/>
    <n v="0"/>
    <n v="0"/>
    <n v="0"/>
    <n v="12.178694531966032"/>
  </r>
  <r>
    <x v="9"/>
    <d v="2025-11-05T00:00:00"/>
    <d v="2025-11-24T00:00:00"/>
    <x v="14"/>
    <n v="9"/>
    <n v="41"/>
    <n v="0.24830327934112015"/>
    <n v="0.50085767102457412"/>
    <n v="20.53516451200754"/>
    <n v="10.180434452985926"/>
    <n v="10.354730059021614"/>
    <n v="0.74141384788077236"/>
    <n v="11.096143906902387"/>
    <n v="0"/>
    <n v="0"/>
    <n v="0"/>
    <n v="11.096143906902387"/>
  </r>
  <r>
    <x v="10"/>
    <d v="2025-12-03T00:00:00"/>
    <d v="2025-12-24T00:00:00"/>
    <x v="14"/>
    <n v="9"/>
    <n v="29"/>
    <n v="0.24830327934112015"/>
    <n v="0.50085767102457412"/>
    <n v="14.52487245971265"/>
    <n v="7.200795100892484"/>
    <n v="7.3240773588201664"/>
    <n v="0.52441467289127808"/>
    <n v="7.8484920317114444"/>
    <n v="0"/>
    <n v="0"/>
    <n v="0"/>
    <n v="7.8484920317114444"/>
  </r>
  <r>
    <x v="11"/>
    <d v="2026-01-06T00:00:00"/>
    <d v="2026-01-26T00:00:00"/>
    <x v="14"/>
    <n v="9"/>
    <n v="36"/>
    <n v="0.24830327934112015"/>
    <n v="0.50085767102457412"/>
    <n v="18.03087615688467"/>
    <n v="8.9389180562803254"/>
    <n v="9.0919581006043444"/>
    <n v="0.65099752496848307"/>
    <n v="9.7429556255728276"/>
    <n v="0"/>
    <n v="0"/>
    <n v="0"/>
    <n v="9.7429556255728276"/>
  </r>
  <r>
    <x v="0"/>
    <d v="2025-02-05T00:00:00"/>
    <d v="2025-02-24T00:00:00"/>
    <x v="15"/>
    <n v="9"/>
    <n v="106"/>
    <n v="0.24830327934112015"/>
    <n v="0.50085767102457412"/>
    <n v="53.090913128604861"/>
    <n v="26.320147610158735"/>
    <n v="26.770765518446126"/>
    <n v="1.9168260457405335"/>
    <n v="28.687591564186661"/>
    <n v="0"/>
    <n v="0"/>
    <n v="0"/>
    <n v="28.687591564186661"/>
  </r>
  <r>
    <x v="1"/>
    <d v="2025-03-05T00:00:00"/>
    <d v="2025-03-24T00:00:00"/>
    <x v="15"/>
    <n v="9"/>
    <n v="102"/>
    <n v="0.24830327934112015"/>
    <n v="0.50085767102457412"/>
    <n v="51.087482444506563"/>
    <n v="25.326934492794255"/>
    <n v="25.760547951712308"/>
    <n v="1.8444929874107021"/>
    <n v="27.605040939123011"/>
    <n v="0"/>
    <n v="0"/>
    <n v="0"/>
    <n v="27.605040939123011"/>
  </r>
  <r>
    <x v="2"/>
    <d v="2025-04-03T00:00:00"/>
    <d v="2025-04-24T00:00:00"/>
    <x v="15"/>
    <n v="9"/>
    <n v="100"/>
    <n v="0.24830327934112015"/>
    <n v="0.50085767102457412"/>
    <n v="50.08576710245741"/>
    <n v="24.830327934112013"/>
    <n v="25.255439168345397"/>
    <n v="1.8083264582457863"/>
    <n v="27.063765626591184"/>
    <n v="0"/>
    <n v="0"/>
    <n v="0"/>
    <n v="27.063765626591184"/>
  </r>
  <r>
    <x v="3"/>
    <d v="2025-05-05T00:00:00"/>
    <d v="2025-05-26T00:00:00"/>
    <x v="15"/>
    <n v="9"/>
    <n v="60"/>
    <n v="0.24830327934112015"/>
    <n v="0.50085767102457412"/>
    <n v="30.051460261474446"/>
    <n v="14.89819676046721"/>
    <n v="15.153263501007237"/>
    <n v="1.0849958749474717"/>
    <n v="16.238259375954708"/>
    <n v="0"/>
    <n v="0"/>
    <n v="0"/>
    <n v="16.238259375954708"/>
  </r>
  <r>
    <x v="4"/>
    <d v="2025-06-04T00:00:00"/>
    <d v="2025-06-24T00:00:00"/>
    <x v="15"/>
    <n v="9"/>
    <n v="96"/>
    <n v="0.24830327934112015"/>
    <n v="0.50085767102457412"/>
    <n v="48.08233641835912"/>
    <n v="23.837114816747533"/>
    <n v="24.245221601611586"/>
    <n v="1.7359933999159549"/>
    <n v="25.981215001527541"/>
    <n v="0"/>
    <n v="0"/>
    <n v="0"/>
    <n v="25.981215001527541"/>
  </r>
  <r>
    <x v="5"/>
    <d v="2025-07-03T00:00:00"/>
    <d v="2025-07-24T00:00:00"/>
    <x v="15"/>
    <n v="9"/>
    <n v="119"/>
    <n v="0.24830327934112015"/>
    <n v="0.50085767102457412"/>
    <n v="59.602062851924323"/>
    <n v="29.548090241593297"/>
    <n v="30.053972610331027"/>
    <n v="2.1519084853124855"/>
    <n v="32.205881095643512"/>
    <n v="0"/>
    <n v="0"/>
    <n v="0"/>
    <n v="32.205881095643512"/>
  </r>
  <r>
    <x v="6"/>
    <d v="2025-08-05T00:00:00"/>
    <d v="2025-08-25T00:00:00"/>
    <x v="15"/>
    <n v="9"/>
    <n v="118"/>
    <n v="0.24830327934112015"/>
    <n v="0.50085767102457412"/>
    <n v="59.101205180899747"/>
    <n v="29.299786962252178"/>
    <n v="29.801418218647569"/>
    <n v="2.1338252207300279"/>
    <n v="31.935243439377597"/>
    <n v="0"/>
    <n v="0"/>
    <n v="0"/>
    <n v="31.935243439377597"/>
  </r>
  <r>
    <x v="7"/>
    <d v="2025-09-04T00:00:00"/>
    <d v="2025-09-24T00:00:00"/>
    <x v="15"/>
    <n v="9"/>
    <n v="119"/>
    <n v="0.24830327934112015"/>
    <n v="0.50085767102457412"/>
    <n v="59.602062851924323"/>
    <n v="29.548090241593297"/>
    <n v="30.053972610331027"/>
    <n v="2.1519084853124855"/>
    <n v="32.205881095643512"/>
    <n v="0"/>
    <n v="0"/>
    <n v="0"/>
    <n v="32.205881095643512"/>
  </r>
  <r>
    <x v="8"/>
    <d v="2025-10-03T00:00:00"/>
    <d v="2025-10-24T00:00:00"/>
    <x v="15"/>
    <n v="9"/>
    <n v="101"/>
    <n v="0.24830327934112015"/>
    <n v="0.50085767102457412"/>
    <n v="50.586624773481986"/>
    <n v="25.078631213453136"/>
    <n v="25.507993560028851"/>
    <n v="1.8264097228282441"/>
    <n v="27.334403282857096"/>
    <n v="0"/>
    <n v="0"/>
    <n v="0"/>
    <n v="27.334403282857096"/>
  </r>
  <r>
    <x v="9"/>
    <d v="2025-11-05T00:00:00"/>
    <d v="2025-11-24T00:00:00"/>
    <x v="15"/>
    <n v="9"/>
    <n v="106"/>
    <n v="0.24830327934112015"/>
    <n v="0.50085767102457412"/>
    <n v="53.090913128604861"/>
    <n v="26.320147610158735"/>
    <n v="26.770765518446126"/>
    <n v="1.9168260457405335"/>
    <n v="28.687591564186661"/>
    <n v="0"/>
    <n v="0"/>
    <n v="0"/>
    <n v="28.687591564186661"/>
  </r>
  <r>
    <x v="10"/>
    <d v="2025-12-03T00:00:00"/>
    <d v="2025-12-24T00:00:00"/>
    <x v="15"/>
    <n v="9"/>
    <n v="35"/>
    <n v="0.24830327934112015"/>
    <n v="0.50085767102457412"/>
    <n v="17.530018485860094"/>
    <n v="8.6906147769392046"/>
    <n v="8.839403708920889"/>
    <n v="0.63291426038602527"/>
    <n v="9.4723179693069142"/>
    <n v="0"/>
    <n v="0"/>
    <n v="0"/>
    <n v="9.4723179693069142"/>
  </r>
  <r>
    <x v="11"/>
    <d v="2026-01-06T00:00:00"/>
    <d v="2026-01-26T00:00:00"/>
    <x v="15"/>
    <n v="9"/>
    <n v="103"/>
    <n v="0.24830327934112015"/>
    <n v="0.50085767102457412"/>
    <n v="51.588340115531132"/>
    <n v="25.575237772135374"/>
    <n v="26.013102343395758"/>
    <n v="1.8625762519931599"/>
    <n v="27.875678595388919"/>
    <n v="0"/>
    <n v="0"/>
    <n v="0"/>
    <n v="27.8756785953889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2646-0328-413C-A790-1EA6BFF5529F}">
  <dimension ref="A1:E22"/>
  <sheetViews>
    <sheetView workbookViewId="0">
      <selection activeCell="I21" sqref="I21"/>
    </sheetView>
  </sheetViews>
  <sheetFormatPr defaultColWidth="8.7265625" defaultRowHeight="12.5" x14ac:dyDescent="0.25"/>
  <cols>
    <col min="1" max="1" width="51.54296875" style="189" bestFit="1" customWidth="1"/>
    <col min="2" max="2" width="6" style="189" bestFit="1" customWidth="1"/>
    <col min="3" max="3" width="14.1796875" style="189" bestFit="1" customWidth="1"/>
    <col min="4" max="4" width="12.7265625" style="189" bestFit="1" customWidth="1"/>
    <col min="5" max="5" width="10.54296875" style="189" bestFit="1" customWidth="1"/>
    <col min="6" max="16384" width="8.7265625" style="189"/>
  </cols>
  <sheetData>
    <row r="1" spans="1:5" x14ac:dyDescent="0.25">
      <c r="C1" s="189" t="s">
        <v>100</v>
      </c>
      <c r="D1" s="189" t="s">
        <v>101</v>
      </c>
      <c r="E1" s="189" t="s">
        <v>99</v>
      </c>
    </row>
    <row r="2" spans="1:5" ht="37.5" x14ac:dyDescent="0.25">
      <c r="A2" s="189" t="s">
        <v>104</v>
      </c>
      <c r="B2" s="206" t="s">
        <v>105</v>
      </c>
      <c r="C2" s="190">
        <v>-9082766.6383517273</v>
      </c>
      <c r="D2" s="190">
        <v>-4327.8885414895776</v>
      </c>
      <c r="E2" s="191">
        <f>C2+D2</f>
        <v>-9087094.5268932171</v>
      </c>
    </row>
    <row r="3" spans="1:5" ht="13" thickBot="1" x14ac:dyDescent="0.3"/>
    <row r="4" spans="1:5" x14ac:dyDescent="0.25">
      <c r="A4" s="192" t="s">
        <v>14</v>
      </c>
      <c r="B4" s="193">
        <f>0.074+0.018</f>
        <v>9.1999999999999998E-2</v>
      </c>
      <c r="C4" s="191">
        <f>$C$2*B4</f>
        <v>-835614.53072835889</v>
      </c>
      <c r="D4" s="191">
        <f>$D$2*B4</f>
        <v>-398.16574581704111</v>
      </c>
      <c r="E4" s="191">
        <f t="shared" ref="E4:E20" si="0">C4+D4</f>
        <v>-836012.6964741759</v>
      </c>
    </row>
    <row r="5" spans="1:5" x14ac:dyDescent="0.25">
      <c r="A5" s="194" t="s">
        <v>85</v>
      </c>
      <c r="B5" s="195">
        <v>5.0000000000000001E-3</v>
      </c>
      <c r="C5" s="191">
        <f t="shared" ref="C5:C16" si="1">$C$2*B5</f>
        <v>-45413.83319175864</v>
      </c>
      <c r="D5" s="191">
        <f t="shared" ref="D5:D16" si="2">$D$2*B5</f>
        <v>-21.639442707447888</v>
      </c>
      <c r="E5" s="191">
        <f t="shared" si="0"/>
        <v>-45435.472634466088</v>
      </c>
    </row>
    <row r="6" spans="1:5" x14ac:dyDescent="0.25">
      <c r="A6" s="194" t="s">
        <v>56</v>
      </c>
      <c r="B6" s="195">
        <v>1.4999999999999999E-2</v>
      </c>
      <c r="C6" s="191">
        <f t="shared" si="1"/>
        <v>-136241.4995752759</v>
      </c>
      <c r="D6" s="191">
        <f t="shared" si="2"/>
        <v>-64.918328122343667</v>
      </c>
      <c r="E6" s="191">
        <f t="shared" si="0"/>
        <v>-136306.41790339825</v>
      </c>
    </row>
    <row r="7" spans="1:5" x14ac:dyDescent="0.25">
      <c r="A7" s="196" t="s">
        <v>17</v>
      </c>
      <c r="B7" s="193">
        <v>1.2999999999999999E-2</v>
      </c>
      <c r="C7" s="191">
        <f t="shared" si="1"/>
        <v>-118075.96629857244</v>
      </c>
      <c r="D7" s="191">
        <f t="shared" si="2"/>
        <v>-56.262551039364503</v>
      </c>
      <c r="E7" s="191">
        <f t="shared" si="0"/>
        <v>-118132.22884961181</v>
      </c>
    </row>
    <row r="8" spans="1:5" x14ac:dyDescent="0.25">
      <c r="A8" s="194" t="s">
        <v>13</v>
      </c>
      <c r="B8" s="195">
        <v>0.10199999999999999</v>
      </c>
      <c r="C8" s="191">
        <f t="shared" si="1"/>
        <v>-926442.1971118761</v>
      </c>
      <c r="D8" s="191">
        <f t="shared" si="2"/>
        <v>-441.44463123193691</v>
      </c>
      <c r="E8" s="191">
        <f t="shared" si="0"/>
        <v>-926883.64174310805</v>
      </c>
    </row>
    <row r="9" spans="1:5" x14ac:dyDescent="0.25">
      <c r="A9" s="196" t="s">
        <v>15</v>
      </c>
      <c r="B9" s="193">
        <v>1E-3</v>
      </c>
      <c r="C9" s="191">
        <f t="shared" si="1"/>
        <v>-9082.766638351728</v>
      </c>
      <c r="D9" s="191">
        <f t="shared" si="2"/>
        <v>-4.3278885414895774</v>
      </c>
      <c r="E9" s="191">
        <f t="shared" si="0"/>
        <v>-9087.0945268932173</v>
      </c>
    </row>
    <row r="10" spans="1:5" x14ac:dyDescent="0.25">
      <c r="A10" s="196" t="s">
        <v>59</v>
      </c>
      <c r="B10" s="193">
        <v>5.0000000000000001E-3</v>
      </c>
      <c r="C10" s="191">
        <f t="shared" si="1"/>
        <v>-45413.83319175864</v>
      </c>
      <c r="D10" s="191">
        <f t="shared" si="2"/>
        <v>-21.639442707447888</v>
      </c>
      <c r="E10" s="191">
        <f t="shared" si="0"/>
        <v>-45435.472634466088</v>
      </c>
    </row>
    <row r="11" spans="1:5" x14ac:dyDescent="0.25">
      <c r="A11" s="196" t="s">
        <v>16</v>
      </c>
      <c r="B11" s="193">
        <v>0</v>
      </c>
      <c r="C11" s="191">
        <f t="shared" si="1"/>
        <v>0</v>
      </c>
      <c r="D11" s="191">
        <f t="shared" si="2"/>
        <v>0</v>
      </c>
      <c r="E11" s="191">
        <f t="shared" si="0"/>
        <v>0</v>
      </c>
    </row>
    <row r="12" spans="1:5" x14ac:dyDescent="0.25">
      <c r="A12" s="194" t="s">
        <v>58</v>
      </c>
      <c r="B12" s="195">
        <v>3.0000000000000001E-3</v>
      </c>
      <c r="C12" s="191">
        <f t="shared" si="1"/>
        <v>-27248.299915055184</v>
      </c>
      <c r="D12" s="191">
        <f t="shared" si="2"/>
        <v>-12.983665624468733</v>
      </c>
      <c r="E12" s="191">
        <f t="shared" si="0"/>
        <v>-27261.283580679654</v>
      </c>
    </row>
    <row r="13" spans="1:5" x14ac:dyDescent="0.25">
      <c r="A13" s="194" t="s">
        <v>19</v>
      </c>
      <c r="B13" s="195">
        <f>0.003+0.002</f>
        <v>5.0000000000000001E-3</v>
      </c>
      <c r="C13" s="191">
        <f t="shared" si="1"/>
        <v>-45413.83319175864</v>
      </c>
      <c r="D13" s="191">
        <f t="shared" si="2"/>
        <v>-21.639442707447888</v>
      </c>
      <c r="E13" s="191">
        <f t="shared" si="0"/>
        <v>-45435.472634466088</v>
      </c>
    </row>
    <row r="14" spans="1:5" x14ac:dyDescent="0.25">
      <c r="A14" s="196" t="s">
        <v>8</v>
      </c>
      <c r="B14" s="193">
        <v>1.2999999999999999E-2</v>
      </c>
      <c r="C14" s="191">
        <f t="shared" si="1"/>
        <v>-118075.96629857244</v>
      </c>
      <c r="D14" s="191">
        <f t="shared" si="2"/>
        <v>-56.262551039364503</v>
      </c>
      <c r="E14" s="191">
        <f t="shared" si="0"/>
        <v>-118132.22884961181</v>
      </c>
    </row>
    <row r="15" spans="1:5" x14ac:dyDescent="0.25">
      <c r="A15" s="196" t="s">
        <v>57</v>
      </c>
      <c r="B15" s="193">
        <v>1E-3</v>
      </c>
      <c r="C15" s="191">
        <f t="shared" si="1"/>
        <v>-9082.766638351728</v>
      </c>
      <c r="D15" s="191">
        <f t="shared" si="2"/>
        <v>-4.3278885414895774</v>
      </c>
      <c r="E15" s="191">
        <f t="shared" si="0"/>
        <v>-9087.0945268932173</v>
      </c>
    </row>
    <row r="16" spans="1:5" x14ac:dyDescent="0.25">
      <c r="A16" s="197" t="s">
        <v>9</v>
      </c>
      <c r="B16" s="193">
        <v>5.0000000000000001E-3</v>
      </c>
      <c r="C16" s="191">
        <f t="shared" si="1"/>
        <v>-45413.83319175864</v>
      </c>
      <c r="D16" s="191">
        <f t="shared" si="2"/>
        <v>-21.639442707447888</v>
      </c>
      <c r="E16" s="191">
        <f t="shared" si="0"/>
        <v>-45435.472634466088</v>
      </c>
    </row>
    <row r="17" spans="1:5" ht="23" x14ac:dyDescent="0.25">
      <c r="A17" s="198" t="s">
        <v>44</v>
      </c>
      <c r="B17" s="199"/>
      <c r="C17" s="200">
        <f>SUM(C4:C16)</f>
        <v>-2361519.3259714488</v>
      </c>
      <c r="D17" s="200">
        <f>SUM(D4:D16)</f>
        <v>-1125.2510207872901</v>
      </c>
      <c r="E17" s="200">
        <f>SUM(E4:E16)</f>
        <v>-2362644.5769922356</v>
      </c>
    </row>
    <row r="18" spans="1:5" x14ac:dyDescent="0.25">
      <c r="A18" s="201" t="s">
        <v>21</v>
      </c>
      <c r="B18" s="195">
        <v>0.37</v>
      </c>
      <c r="C18" s="191">
        <f>$C$2*B18</f>
        <v>-3360623.6561901392</v>
      </c>
      <c r="D18" s="191">
        <f>$D$2*B18</f>
        <v>-1601.3187603511437</v>
      </c>
      <c r="E18" s="191">
        <f t="shared" si="0"/>
        <v>-3362224.9749504905</v>
      </c>
    </row>
    <row r="19" spans="1:5" x14ac:dyDescent="0.25">
      <c r="A19" s="196" t="s">
        <v>22</v>
      </c>
      <c r="B19" s="193">
        <v>0.35399999999999998</v>
      </c>
      <c r="C19" s="191">
        <f t="shared" ref="C19:C20" si="3">$C$2*B19</f>
        <v>-3215299.3899765112</v>
      </c>
      <c r="D19" s="191">
        <f t="shared" ref="D19:D20" si="4">$D$2*B19</f>
        <v>-1532.0725436873104</v>
      </c>
      <c r="E19" s="191">
        <f t="shared" si="0"/>
        <v>-3216831.4625201984</v>
      </c>
    </row>
    <row r="20" spans="1:5" x14ac:dyDescent="0.25">
      <c r="A20" s="197" t="s">
        <v>83</v>
      </c>
      <c r="B20" s="193">
        <v>1.6E-2</v>
      </c>
      <c r="C20" s="191">
        <f t="shared" si="3"/>
        <v>-145324.26621362765</v>
      </c>
      <c r="D20" s="191">
        <f t="shared" si="4"/>
        <v>-69.246216663833238</v>
      </c>
      <c r="E20" s="191">
        <f t="shared" si="0"/>
        <v>-145393.51243029148</v>
      </c>
    </row>
    <row r="21" spans="1:5" ht="23" x14ac:dyDescent="0.25">
      <c r="A21" s="198" t="s">
        <v>53</v>
      </c>
      <c r="B21" s="202"/>
      <c r="C21" s="203">
        <f>SUM(C18:C20)</f>
        <v>-6721247.3123802785</v>
      </c>
      <c r="D21" s="203">
        <f>SUM(D18:D20)</f>
        <v>-3202.6375207022875</v>
      </c>
      <c r="E21" s="203">
        <f>SUM(E18:E20)</f>
        <v>-6724449.949900981</v>
      </c>
    </row>
    <row r="22" spans="1:5" ht="13" thickBot="1" x14ac:dyDescent="0.3">
      <c r="A22" s="204" t="s">
        <v>45</v>
      </c>
      <c r="B22" s="205"/>
      <c r="C22" s="191">
        <f>C17+C21</f>
        <v>-9082766.6383517273</v>
      </c>
      <c r="D22" s="191">
        <f>D17+D21</f>
        <v>-4327.8885414895776</v>
      </c>
      <c r="E22" s="191">
        <f>E17+E21</f>
        <v>-9087094.5268932171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9"/>
  <sheetViews>
    <sheetView zoomScale="85" zoomScaleNormal="85" zoomScaleSheetLayoutView="100" workbookViewId="0">
      <selection activeCell="I21" sqref="I21"/>
    </sheetView>
  </sheetViews>
  <sheetFormatPr defaultColWidth="33.26953125" defaultRowHeight="12.5" x14ac:dyDescent="0.25"/>
  <cols>
    <col min="1" max="1" width="9.1796875" customWidth="1"/>
    <col min="2" max="2" width="14" customWidth="1"/>
    <col min="3" max="3" width="21.81640625" customWidth="1"/>
    <col min="4" max="4" width="15.54296875" customWidth="1"/>
    <col min="5" max="14" width="14" customWidth="1"/>
    <col min="15" max="15" width="15" customWidth="1"/>
    <col min="16" max="108" width="31.7265625" customWidth="1"/>
    <col min="109" max="109" width="11.453125" customWidth="1"/>
  </cols>
  <sheetData>
    <row r="1" spans="2:17" ht="13" x14ac:dyDescent="0.3">
      <c r="C1" s="236" t="str">
        <f>+Transactions!B1</f>
        <v>AEPTCo Formula Rate -- FERC Docket ER18-194</v>
      </c>
      <c r="D1" s="236"/>
      <c r="E1" s="236"/>
      <c r="F1" s="236"/>
      <c r="G1" s="236"/>
      <c r="H1" s="236"/>
      <c r="I1" s="236"/>
      <c r="J1" s="4">
        <v>2025</v>
      </c>
    </row>
    <row r="2" spans="2:17" ht="13" x14ac:dyDescent="0.3">
      <c r="C2" s="236" t="s">
        <v>36</v>
      </c>
      <c r="D2" s="236"/>
      <c r="E2" s="236"/>
      <c r="F2" s="236"/>
      <c r="G2" s="236"/>
      <c r="H2" s="236"/>
      <c r="I2" s="236"/>
    </row>
    <row r="3" spans="2:17" ht="13" x14ac:dyDescent="0.3">
      <c r="C3" s="236" t="str">
        <f>"for period 01/01/"&amp;F8&amp;" - 12/31/"&amp;F8</f>
        <v>for period 01/01/2025 - 12/31/2025</v>
      </c>
      <c r="D3" s="236"/>
      <c r="E3" s="236"/>
      <c r="F3" s="236"/>
      <c r="G3" s="236"/>
      <c r="H3" s="236"/>
      <c r="I3" s="236"/>
    </row>
    <row r="4" spans="2:17" ht="13" x14ac:dyDescent="0.3">
      <c r="C4" s="236" t="s">
        <v>96</v>
      </c>
      <c r="D4" s="236"/>
      <c r="E4" s="236"/>
      <c r="F4" s="236"/>
      <c r="G4" s="236"/>
      <c r="H4" s="236"/>
      <c r="I4" s="236"/>
    </row>
    <row r="5" spans="2:17" x14ac:dyDescent="0.25">
      <c r="C5" s="5" t="str">
        <f>"Prepared:  May 22_, "&amp;J1&amp;""</f>
        <v>Prepared:  May 22_, 2025</v>
      </c>
      <c r="D5" s="6"/>
    </row>
    <row r="6" spans="2:17" x14ac:dyDescent="0.25">
      <c r="C6" s="7"/>
    </row>
    <row r="7" spans="2:17" ht="13" x14ac:dyDescent="0.3">
      <c r="C7" s="8"/>
    </row>
    <row r="8" spans="2:17" ht="27.75" customHeight="1" thickBot="1" x14ac:dyDescent="0.3">
      <c r="F8" s="9" t="s">
        <v>103</v>
      </c>
    </row>
    <row r="9" spans="2:17" ht="20.25" customHeight="1" x14ac:dyDescent="0.3">
      <c r="E9" s="10" t="s">
        <v>95</v>
      </c>
      <c r="F9" s="11"/>
      <c r="G9" s="12"/>
      <c r="H9" s="13"/>
    </row>
    <row r="10" spans="2:17" ht="42" customHeight="1" thickBot="1" x14ac:dyDescent="0.3">
      <c r="B10" s="14"/>
      <c r="E10" s="15" t="str">
        <f>"(per "&amp;$F8&amp;" Projections "&amp;$F8&amp;")"</f>
        <v>(per 2025 Projections 2025)</v>
      </c>
      <c r="F10" s="16" t="str">
        <f>"(per "&amp;F8+1&amp;" Update of May "&amp;F8+1&amp;")"</f>
        <v>(per 2026 Update of May 2026)</v>
      </c>
      <c r="G10" s="17"/>
      <c r="H10" s="16"/>
    </row>
    <row r="11" spans="2:17" ht="21.75" customHeight="1" x14ac:dyDescent="0.25">
      <c r="B11" s="18"/>
      <c r="C11" s="19" t="s">
        <v>39</v>
      </c>
      <c r="D11" s="20" t="s">
        <v>37</v>
      </c>
      <c r="E11" s="21">
        <f>Transactions!K2</f>
        <v>25714.535911845745</v>
      </c>
      <c r="F11" s="22"/>
      <c r="G11" s="23"/>
      <c r="H11" s="24"/>
    </row>
    <row r="12" spans="2:17" ht="21.75" customHeight="1" x14ac:dyDescent="0.25">
      <c r="B12" s="18"/>
      <c r="C12" s="25"/>
      <c r="D12" s="26" t="s">
        <v>43</v>
      </c>
      <c r="E12" s="27"/>
      <c r="F12" s="28">
        <f>+Transactions!J2</f>
        <v>53027.304204384731</v>
      </c>
      <c r="G12" s="29"/>
      <c r="H12" s="30"/>
    </row>
    <row r="13" spans="2:17" ht="21.75" customHeight="1" x14ac:dyDescent="0.25">
      <c r="B13" s="31"/>
      <c r="C13" s="32" t="s">
        <v>40</v>
      </c>
      <c r="D13" s="33" t="s">
        <v>38</v>
      </c>
      <c r="E13" s="34">
        <f>Transactions!K3</f>
        <v>0.24830327934112015</v>
      </c>
      <c r="F13" s="30"/>
      <c r="G13" s="35"/>
      <c r="H13" s="36"/>
    </row>
    <row r="14" spans="2:17" ht="21.75" customHeight="1" thickBot="1" x14ac:dyDescent="0.3">
      <c r="B14" s="14"/>
      <c r="C14" s="37"/>
      <c r="D14" s="38" t="s">
        <v>42</v>
      </c>
      <c r="E14" s="39"/>
      <c r="F14" s="40">
        <f>+Transactions!J3</f>
        <v>0.50085767102457412</v>
      </c>
      <c r="G14" s="41"/>
      <c r="H14" s="30"/>
    </row>
    <row r="15" spans="2:17" x14ac:dyDescent="0.25">
      <c r="B15" s="18"/>
    </row>
    <row r="16" spans="2:17" ht="13" x14ac:dyDescent="0.3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ht="13" x14ac:dyDescent="0.3">
      <c r="C17" s="8"/>
      <c r="L17" s="1"/>
      <c r="M17" s="46"/>
      <c r="N17" s="46"/>
      <c r="O17" s="46"/>
      <c r="P17" s="46"/>
      <c r="Q17" s="46"/>
    </row>
    <row r="18" spans="2:17" x14ac:dyDescent="0.25">
      <c r="M18" s="46"/>
      <c r="N18" s="46"/>
      <c r="O18" s="46"/>
      <c r="P18" s="46"/>
      <c r="Q18" s="46"/>
    </row>
    <row r="19" spans="2:17" ht="21" customHeight="1" thickBot="1" x14ac:dyDescent="0.3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94</v>
      </c>
      <c r="I19" s="48" t="s">
        <v>93</v>
      </c>
      <c r="M19" s="46"/>
      <c r="N19" s="46"/>
      <c r="O19" s="46"/>
      <c r="P19" s="46"/>
      <c r="Q19" s="46"/>
    </row>
    <row r="20" spans="2:17" ht="53.25" customHeight="1" x14ac:dyDescent="0.25">
      <c r="C20" s="49" t="s">
        <v>52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41</v>
      </c>
      <c r="G20" s="52" t="s">
        <v>7</v>
      </c>
      <c r="H20" s="52" t="s">
        <v>106</v>
      </c>
      <c r="I20" s="53" t="s">
        <v>46</v>
      </c>
      <c r="M20" s="46"/>
      <c r="N20" s="46"/>
      <c r="O20" s="46"/>
      <c r="P20" s="46"/>
      <c r="Q20" s="46"/>
    </row>
    <row r="21" spans="2:17" x14ac:dyDescent="0.25">
      <c r="B21" s="54"/>
      <c r="C21" s="55" t="s">
        <v>14</v>
      </c>
      <c r="D21" s="56">
        <f>GETPIVOTDATA("Sum of "&amp;T(Transactions!$J$19),Pivot!$A$3,"Customer",C21)</f>
        <v>5131.7876973177863</v>
      </c>
      <c r="E21" s="56">
        <f>GETPIVOTDATA("Sum of "&amp;T(Transactions!$K$19),Pivot!$A$3,"Customer",C21)</f>
        <v>2544.115400129117</v>
      </c>
      <c r="F21" s="56">
        <f>D21-E21</f>
        <v>2587.6722971886693</v>
      </c>
      <c r="G21" s="46">
        <f>+GETPIVOTDATA("Sum of "&amp;T(Transactions!$M$19),Pivot!$A$3,"Customer","AECC")</f>
        <v>185.28112891186325</v>
      </c>
      <c r="H21" s="46">
        <f>-'2025 NOLC Refund Detail'!D4</f>
        <v>398.16574581704111</v>
      </c>
      <c r="I21" s="57">
        <f>F21+G21+H21</f>
        <v>3171.1191719175736</v>
      </c>
      <c r="J21" s="54"/>
      <c r="M21" s="46"/>
      <c r="N21" s="46"/>
      <c r="O21" s="46"/>
      <c r="P21" s="46"/>
      <c r="Q21" s="46"/>
    </row>
    <row r="22" spans="2:17" x14ac:dyDescent="0.25">
      <c r="B22" s="54"/>
      <c r="C22" s="58" t="s">
        <v>85</v>
      </c>
      <c r="D22" s="56">
        <f>GETPIVOTDATA("Sum of "&amp;T(Transactions!$J$19),Pivot!$A$3,"Customer",C22)</f>
        <v>256.93998523560651</v>
      </c>
      <c r="E22" s="56">
        <f>GETPIVOTDATA("Sum of "&amp;T(Transactions!$K$19),Pivot!$A$3,"Customer",C22)</f>
        <v>127.37958230199463</v>
      </c>
      <c r="F22" s="56">
        <f>D22-E22</f>
        <v>129.5604029336119</v>
      </c>
      <c r="G22" s="46">
        <f>+GETPIVOTDATA("Sum of "&amp;T(Transactions!$M$19),Pivot!$A$3,"Customer","AECI")</f>
        <v>9.2767147308008848</v>
      </c>
      <c r="H22" s="46">
        <f>-'2025 NOLC Refund Detail'!D5</f>
        <v>21.639442707447888</v>
      </c>
      <c r="I22" s="57">
        <f t="shared" ref="I22:I33" si="0">F22+G22+H22</f>
        <v>160.47656037186067</v>
      </c>
      <c r="J22" s="54"/>
      <c r="M22" s="46"/>
      <c r="N22" s="46"/>
      <c r="O22" s="46"/>
      <c r="P22" s="46"/>
      <c r="Q22" s="46"/>
    </row>
    <row r="23" spans="2:17" x14ac:dyDescent="0.25">
      <c r="B23" s="54"/>
      <c r="C23" s="58" t="s">
        <v>56</v>
      </c>
      <c r="D23" s="56">
        <f>GETPIVOTDATA("Sum of "&amp;T(Transactions!$J$19),Pivot!$A$3,"Customer",C23)</f>
        <v>864.48034018841497</v>
      </c>
      <c r="E23" s="56">
        <f>GETPIVOTDATA("Sum of "&amp;T(Transactions!$K$19),Pivot!$A$3,"Customer",C23)</f>
        <v>428.57146014277339</v>
      </c>
      <c r="F23" s="56">
        <f t="shared" ref="F23:F35" si="1">D23-E23</f>
        <v>435.90888004564158</v>
      </c>
      <c r="G23" s="46">
        <f>+GETPIVOTDATA("Sum of "&amp;T(Transactions!$M$19),Pivot!$A$3,"Customer","Bentonville, AR")</f>
        <v>31.211714669322269</v>
      </c>
      <c r="H23" s="46">
        <f>-'2025 NOLC Refund Detail'!D6</f>
        <v>64.918328122343667</v>
      </c>
      <c r="I23" s="57">
        <f t="shared" si="0"/>
        <v>532.0389228373075</v>
      </c>
      <c r="J23" s="54"/>
      <c r="M23" s="46"/>
      <c r="N23" s="46"/>
      <c r="O23" s="46"/>
      <c r="P23" s="46"/>
      <c r="Q23" s="46"/>
    </row>
    <row r="24" spans="2:17" x14ac:dyDescent="0.25">
      <c r="B24" s="54"/>
      <c r="C24" s="55" t="s">
        <v>17</v>
      </c>
      <c r="D24" s="56">
        <f>GETPIVOTDATA("Sum of "&amp;T(Transactions!$J$19),Pivot!$A$3,"Customer",C24)</f>
        <v>583.4991867436288</v>
      </c>
      <c r="E24" s="56">
        <f>GETPIVOTDATA("Sum of "&amp;T(Transactions!$K$19),Pivot!$A$3,"Customer",C24)</f>
        <v>289.27332043240494</v>
      </c>
      <c r="F24" s="56">
        <f t="shared" si="1"/>
        <v>294.22586631122385</v>
      </c>
      <c r="G24" s="46">
        <f>+GETPIVOTDATA("Sum of "&amp;T(Transactions!$M$19),Pivot!$A$3,"Customer","Coffeyville, KS")</f>
        <v>21.067003238563412</v>
      </c>
      <c r="H24" s="46">
        <f>-'2025 NOLC Refund Detail'!D7</f>
        <v>56.262551039364503</v>
      </c>
      <c r="I24" s="57">
        <f t="shared" si="0"/>
        <v>371.55542058915177</v>
      </c>
      <c r="J24" s="54"/>
      <c r="M24" s="46"/>
      <c r="N24" s="46"/>
      <c r="O24" s="46"/>
      <c r="P24" s="46"/>
      <c r="Q24" s="46"/>
    </row>
    <row r="25" spans="2:17" x14ac:dyDescent="0.25">
      <c r="B25" s="54"/>
      <c r="C25" s="58" t="s">
        <v>13</v>
      </c>
      <c r="D25" s="56">
        <f>GETPIVOTDATA("Sum of "&amp;T(Transactions!$J$19),Pivot!$A$3,"Customer",C25)</f>
        <v>5545.9969912551105</v>
      </c>
      <c r="E25" s="56">
        <f>GETPIVOTDATA("Sum of "&amp;T(Transactions!$K$19),Pivot!$A$3,"Customer",C25)</f>
        <v>2749.4622121442235</v>
      </c>
      <c r="F25" s="56">
        <f t="shared" si="1"/>
        <v>2796.534779110887</v>
      </c>
      <c r="G25" s="46">
        <f>+GETPIVOTDATA("Sum of "&amp;T(Transactions!$M$19),Pivot!$A$3,"Customer","ETEC")</f>
        <v>200.23598872155591</v>
      </c>
      <c r="H25" s="46">
        <f>-'2025 NOLC Refund Detail'!D8</f>
        <v>441.44463123193691</v>
      </c>
      <c r="I25" s="57">
        <f t="shared" si="0"/>
        <v>3438.2153990643797</v>
      </c>
      <c r="J25" s="54"/>
      <c r="L25" s="1"/>
      <c r="M25" s="46"/>
      <c r="N25" s="46"/>
      <c r="O25" s="46"/>
      <c r="P25" s="46"/>
      <c r="Q25" s="46"/>
    </row>
    <row r="26" spans="2:17" x14ac:dyDescent="0.25">
      <c r="B26" s="54"/>
      <c r="C26" s="55" t="s">
        <v>15</v>
      </c>
      <c r="D26" s="56">
        <f>GETPIVOTDATA("Sum of "&amp;T(Transactions!$J$19),Pivot!$A$3,"Customer",C26)</f>
        <v>51.087482444506563</v>
      </c>
      <c r="E26" s="56">
        <f>GETPIVOTDATA("Sum of "&amp;T(Transactions!$K$19),Pivot!$A$3,"Customer",C26)</f>
        <v>25.326934492794251</v>
      </c>
      <c r="F26" s="56">
        <f t="shared" si="1"/>
        <v>25.760547951712311</v>
      </c>
      <c r="G26" s="46">
        <f>+GETPIVOTDATA("Sum of "&amp;T(Transactions!$M$19),Pivot!$A$3,"Customer","Greenbelt")</f>
        <v>1.8444929874107017</v>
      </c>
      <c r="H26" s="46">
        <f>-'2025 NOLC Refund Detail'!D9</f>
        <v>4.3278885414895774</v>
      </c>
      <c r="I26" s="57">
        <f t="shared" si="0"/>
        <v>31.932929480612593</v>
      </c>
      <c r="J26" s="54"/>
      <c r="K26" s="59"/>
      <c r="L26" s="59"/>
      <c r="M26" s="59"/>
      <c r="N26" s="59"/>
      <c r="O26" s="46"/>
      <c r="P26" s="46"/>
      <c r="Q26" s="46"/>
    </row>
    <row r="27" spans="2:17" x14ac:dyDescent="0.25">
      <c r="B27" s="54"/>
      <c r="C27" s="55" t="s">
        <v>59</v>
      </c>
      <c r="D27" s="56">
        <f>GETPIVOTDATA("Sum of "&amp;T(Transactions!$J$19),Pivot!$A$3,"Customer",C27)</f>
        <v>241.91425510486928</v>
      </c>
      <c r="E27" s="56">
        <f>GETPIVOTDATA("Sum of "&amp;T(Transactions!$K$19),Pivot!$A$3,"Customer",C27)</f>
        <v>119.93048392176104</v>
      </c>
      <c r="F27" s="56">
        <f t="shared" si="1"/>
        <v>121.98377118310825</v>
      </c>
      <c r="G27" s="46">
        <f>+GETPIVOTDATA("Sum of "&amp;T(Transactions!$M$19),Pivot!$A$3,"Customer","Hope, AR")</f>
        <v>8.734216793327148</v>
      </c>
      <c r="H27" s="46">
        <f>-'2025 NOLC Refund Detail'!D10</f>
        <v>21.639442707447888</v>
      </c>
      <c r="I27" s="57">
        <f t="shared" si="0"/>
        <v>152.35743068388328</v>
      </c>
      <c r="J27" s="54"/>
      <c r="K27" s="59"/>
      <c r="L27" s="59"/>
      <c r="M27" s="59"/>
      <c r="N27" s="59"/>
      <c r="O27" s="46"/>
      <c r="P27" s="46"/>
      <c r="Q27" s="46"/>
    </row>
    <row r="28" spans="2:17" x14ac:dyDescent="0.25">
      <c r="B28" s="54"/>
      <c r="C28" s="55" t="s">
        <v>16</v>
      </c>
      <c r="D28" s="56">
        <f>GETPIVOTDATA("Sum of "&amp;T(Transactions!$J$19),Pivot!$A$3,"Customer",C28)</f>
        <v>16.528303143810945</v>
      </c>
      <c r="E28" s="56">
        <f>GETPIVOTDATA("Sum of "&amp;T(Transactions!$K$19),Pivot!$A$3,"Customer",C28)</f>
        <v>8.1940082182569647</v>
      </c>
      <c r="F28" s="56">
        <f t="shared" si="1"/>
        <v>8.33429492555398</v>
      </c>
      <c r="G28" s="46">
        <f>+GETPIVOTDATA("Sum of "&amp;T(Transactions!$M$19),Pivot!$A$3,"Customer","Lighthouse")</f>
        <v>0.59674773122110947</v>
      </c>
      <c r="H28" s="46">
        <f>-'2025 NOLC Refund Detail'!D11</f>
        <v>0</v>
      </c>
      <c r="I28" s="57">
        <f t="shared" si="0"/>
        <v>8.9310426567750891</v>
      </c>
      <c r="J28" s="54"/>
      <c r="M28" s="46"/>
      <c r="N28" s="46"/>
      <c r="O28" s="46"/>
      <c r="P28" s="46"/>
      <c r="Q28" s="46"/>
    </row>
    <row r="29" spans="2:17" x14ac:dyDescent="0.25">
      <c r="B29" s="54"/>
      <c r="C29" s="58" t="s">
        <v>58</v>
      </c>
      <c r="D29" s="56">
        <f>GETPIVOTDATA("Sum of "&amp;T(Transactions!$J$19),Pivot!$A$3,"Customer",C29)</f>
        <v>0</v>
      </c>
      <c r="E29" s="56">
        <f>GETPIVOTDATA("Sum of "&amp;T(Transactions!$K$19),Pivot!$A$3,"Customer",C29)</f>
        <v>0</v>
      </c>
      <c r="F29" s="56">
        <f t="shared" si="1"/>
        <v>0</v>
      </c>
      <c r="G29" s="46">
        <f>+GETPIVOTDATA("Sum of "&amp;T(Transactions!$M$19),Pivot!$A$3,"Customer","Minden, LA")</f>
        <v>0</v>
      </c>
      <c r="H29" s="46">
        <f>-'2025 NOLC Refund Detail'!D12</f>
        <v>12.983665624468733</v>
      </c>
      <c r="I29" s="57">
        <f t="shared" si="0"/>
        <v>12.983665624468733</v>
      </c>
      <c r="J29" s="54"/>
      <c r="M29" s="46"/>
      <c r="N29" s="46"/>
      <c r="O29" s="46"/>
      <c r="P29" s="46"/>
      <c r="Q29" s="46"/>
    </row>
    <row r="30" spans="2:17" x14ac:dyDescent="0.25">
      <c r="B30" s="54"/>
      <c r="C30" s="58" t="s">
        <v>19</v>
      </c>
      <c r="D30" s="56">
        <f>GETPIVOTDATA("Sum of "&amp;T(Transactions!$J$19),Pivot!$A$3,"Customer",C30)</f>
        <v>373.63982258433225</v>
      </c>
      <c r="E30" s="56">
        <f>GETPIVOTDATA("Sum of "&amp;T(Transactions!$K$19),Pivot!$A$3,"Customer",C30)</f>
        <v>185.23424638847564</v>
      </c>
      <c r="F30" s="56">
        <f t="shared" si="1"/>
        <v>188.40557619585661</v>
      </c>
      <c r="G30" s="46">
        <f>+GETPIVOTDATA("Sum of "&amp;T(Transactions!$M$19),Pivot!$A$3,"Customer","OG&amp;E")</f>
        <v>13.490115378513567</v>
      </c>
      <c r="H30" s="46">
        <f>-'2025 NOLC Refund Detail'!D13</f>
        <v>21.639442707447888</v>
      </c>
      <c r="I30" s="57">
        <f t="shared" si="0"/>
        <v>223.53513428181807</v>
      </c>
      <c r="J30" s="54"/>
    </row>
    <row r="31" spans="2:17" x14ac:dyDescent="0.25">
      <c r="B31" s="54"/>
      <c r="C31" s="55" t="s">
        <v>8</v>
      </c>
      <c r="D31" s="56">
        <f>GETPIVOTDATA("Sum of "&amp;T(Transactions!$J$19),Pivot!$A$3,"Customer",C31)</f>
        <v>621.56436974149653</v>
      </c>
      <c r="E31" s="56">
        <f>GETPIVOTDATA("Sum of "&amp;T(Transactions!$K$19),Pivot!$A$3,"Customer",C31)</f>
        <v>308.14436966233018</v>
      </c>
      <c r="F31" s="56">
        <f t="shared" si="1"/>
        <v>313.42000007916636</v>
      </c>
      <c r="G31" s="46">
        <f>+GETPIVOTDATA("Sum of "&amp;T(Transactions!$M$19),Pivot!$A$3,"Customer","OMPA")</f>
        <v>22.441331346830211</v>
      </c>
      <c r="H31" s="46">
        <f>-'2025 NOLC Refund Detail'!D14</f>
        <v>56.262551039364503</v>
      </c>
      <c r="I31" s="57">
        <f t="shared" si="0"/>
        <v>392.12388246536108</v>
      </c>
      <c r="J31" s="54"/>
    </row>
    <row r="32" spans="2:17" x14ac:dyDescent="0.25">
      <c r="B32" s="54"/>
      <c r="C32" s="55" t="s">
        <v>57</v>
      </c>
      <c r="D32" s="56">
        <f>GETPIVOTDATA("Sum of "&amp;T(Transactions!$J$19),Pivot!$A$3,"Customer",C32)</f>
        <v>63.608924220120919</v>
      </c>
      <c r="E32" s="56">
        <f>GETPIVOTDATA("Sum of "&amp;T(Transactions!$K$19),Pivot!$A$3,"Customer",C32)</f>
        <v>31.53451647632226</v>
      </c>
      <c r="F32" s="56">
        <f t="shared" si="1"/>
        <v>32.074407743798659</v>
      </c>
      <c r="G32" s="46">
        <f>+GETPIVOTDATA("Sum of "&amp;T(Transactions!$M$19),Pivot!$A$3,"Customer","Prescott, AR")</f>
        <v>2.2965746019721491</v>
      </c>
      <c r="H32" s="46">
        <f>-'2025 NOLC Refund Detail'!D15</f>
        <v>4.3278885414895774</v>
      </c>
      <c r="I32" s="57">
        <f t="shared" si="0"/>
        <v>38.698870887260384</v>
      </c>
      <c r="J32" s="54"/>
    </row>
    <row r="33" spans="2:10" x14ac:dyDescent="0.25">
      <c r="B33" s="54"/>
      <c r="C33" s="60" t="s">
        <v>9</v>
      </c>
      <c r="D33" s="56">
        <f>GETPIVOTDATA("Sum of "&amp;T(Transactions!$J$19),Pivot!$A$3,"Customer",C33)</f>
        <v>324.55577082392398</v>
      </c>
      <c r="E33" s="56">
        <f>GETPIVOTDATA("Sum of "&amp;T(Transactions!$K$19),Pivot!$A$3,"Customer",C33)</f>
        <v>160.90052501304584</v>
      </c>
      <c r="F33" s="56">
        <f t="shared" si="1"/>
        <v>163.65524581087814</v>
      </c>
      <c r="G33" s="46">
        <f>+GETPIVOTDATA("Sum of "&amp;T(Transactions!$M$19),Pivot!$A$3,"Customer","WFEC")</f>
        <v>11.717955449432695</v>
      </c>
      <c r="H33" s="46">
        <f>-'2025 NOLC Refund Detail'!D16</f>
        <v>21.639442707447888</v>
      </c>
      <c r="I33" s="57">
        <f t="shared" si="0"/>
        <v>197.01264396775875</v>
      </c>
      <c r="J33" s="54"/>
    </row>
    <row r="34" spans="2:10" ht="23" x14ac:dyDescent="0.25">
      <c r="C34" s="61" t="s">
        <v>44</v>
      </c>
      <c r="D34" s="62">
        <f t="shared" ref="D34:I34" si="2">SUM(D21:D33)</f>
        <v>14075.603128803608</v>
      </c>
      <c r="E34" s="62">
        <f t="shared" si="2"/>
        <v>6978.0670593235</v>
      </c>
      <c r="F34" s="62">
        <f t="shared" si="2"/>
        <v>7097.5360694801066</v>
      </c>
      <c r="G34" s="63">
        <f t="shared" si="2"/>
        <v>508.19398456081336</v>
      </c>
      <c r="H34" s="63">
        <f t="shared" si="2"/>
        <v>1125.2510207872901</v>
      </c>
      <c r="I34" s="64">
        <f t="shared" si="2"/>
        <v>8730.9810748282125</v>
      </c>
    </row>
    <row r="35" spans="2:10" x14ac:dyDescent="0.25">
      <c r="C35" s="65" t="s">
        <v>21</v>
      </c>
      <c r="D35" s="56">
        <f>GETPIVOTDATA("Sum of "&amp;T(Transactions!$J$19),Pivot!$A$3,"Customer",C35)</f>
        <v>19478.354826145685</v>
      </c>
      <c r="E35" s="56">
        <f>GETPIVOTDATA("Sum of "&amp;T(Transactions!$K$19),Pivot!$A$3,"Customer",C35)</f>
        <v>9656.5145335761626</v>
      </c>
      <c r="F35" s="56">
        <f t="shared" si="1"/>
        <v>9821.8402925695227</v>
      </c>
      <c r="G35" s="46">
        <f>+GETPIVOTDATA("Sum of "&amp;T(Transactions!$M$19),Pivot!$A$3,"Customer","PSO")</f>
        <v>703.25815961178625</v>
      </c>
      <c r="H35" s="46">
        <f>-'2025 NOLC Refund Detail'!D18</f>
        <v>1601.3187603511437</v>
      </c>
      <c r="I35" s="57">
        <f t="shared" ref="I35:I37" si="3">F35+G35+H35</f>
        <v>12126.417212532453</v>
      </c>
    </row>
    <row r="36" spans="2:10" x14ac:dyDescent="0.25">
      <c r="C36" s="66" t="s">
        <v>22</v>
      </c>
      <c r="D36" s="56">
        <f>GETPIVOTDATA("Sum of "&amp;T(Transactions!$J$19),Pivot!$A$3,"Customer",C36)</f>
        <v>18619.38392033854</v>
      </c>
      <c r="E36" s="56">
        <f>GETPIVOTDATA("Sum of "&amp;T(Transactions!$K$19),Pivot!$A$3,"Customer",C36)</f>
        <v>9230.6744095061404</v>
      </c>
      <c r="F36" s="56">
        <f>D36-E36</f>
        <v>9388.7095108323992</v>
      </c>
      <c r="G36" s="46">
        <f>+GETPIVOTDATA("Sum of "&amp;T(Transactions!$M$19),Pivot!$A$3,"Customer","SWEPCO")</f>
        <v>672.24536085287116</v>
      </c>
      <c r="H36" s="46">
        <f>-'2025 NOLC Refund Detail'!D19</f>
        <v>1532.0725436873104</v>
      </c>
      <c r="I36" s="57">
        <f t="shared" si="3"/>
        <v>11593.02741537258</v>
      </c>
    </row>
    <row r="37" spans="2:10" x14ac:dyDescent="0.25">
      <c r="C37" s="67" t="s">
        <v>83</v>
      </c>
      <c r="D37" s="56">
        <f>GETPIVOTDATA("Sum of "&amp;T(Transactions!$J$19),Pivot!$A$3,"Customer",C37)</f>
        <v>853.96232909689888</v>
      </c>
      <c r="E37" s="56">
        <f>GETPIVOTDATA("Sum of "&amp;T(Transactions!$K$19),Pivot!$A$3,"Customer",C37)</f>
        <v>423.35709127660994</v>
      </c>
      <c r="F37" s="56">
        <f>D37-E37</f>
        <v>430.60523782028895</v>
      </c>
      <c r="G37" s="46">
        <f>+GETPIVOTDATA("Sum of "&amp;T(Transactions!$M$19),Pivot!$A$3,"Customer","SWEPCO-Valley")</f>
        <v>30.831966113090655</v>
      </c>
      <c r="H37" s="46">
        <f>-'2025 NOLC Refund Detail'!D20</f>
        <v>69.246216663833238</v>
      </c>
      <c r="I37" s="57">
        <f t="shared" si="3"/>
        <v>530.68342059721283</v>
      </c>
    </row>
    <row r="38" spans="2:10" ht="23" x14ac:dyDescent="0.25">
      <c r="C38" s="68" t="s">
        <v>53</v>
      </c>
      <c r="D38" s="69">
        <f t="shared" ref="D38:I38" si="4">SUM(D35:D37)</f>
        <v>38951.701075581121</v>
      </c>
      <c r="E38" s="69">
        <f t="shared" si="4"/>
        <v>19310.546034358915</v>
      </c>
      <c r="F38" s="69">
        <f t="shared" si="4"/>
        <v>19641.15504122221</v>
      </c>
      <c r="G38" s="70">
        <f t="shared" si="4"/>
        <v>1406.335486577748</v>
      </c>
      <c r="H38" s="70">
        <f t="shared" si="4"/>
        <v>3202.6375207022875</v>
      </c>
      <c r="I38" s="71">
        <f t="shared" si="4"/>
        <v>24250.128048502243</v>
      </c>
    </row>
    <row r="39" spans="2:10" ht="23.25" customHeight="1" thickBot="1" x14ac:dyDescent="0.3">
      <c r="C39" s="72" t="s">
        <v>45</v>
      </c>
      <c r="D39" s="73">
        <f t="shared" ref="D39:I39" si="5">SUM(D34,D38)</f>
        <v>53027.304204384731</v>
      </c>
      <c r="E39" s="74">
        <f t="shared" si="5"/>
        <v>26288.613093682416</v>
      </c>
      <c r="F39" s="73">
        <f t="shared" si="5"/>
        <v>26738.691110702315</v>
      </c>
      <c r="G39" s="74">
        <f t="shared" si="5"/>
        <v>1914.5294711385613</v>
      </c>
      <c r="H39" s="74">
        <f t="shared" si="5"/>
        <v>4327.8885414895776</v>
      </c>
      <c r="I39" s="75">
        <f t="shared" si="5"/>
        <v>32981.109123330454</v>
      </c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3"/>
  <sheetViews>
    <sheetView zoomScale="85" workbookViewId="0">
      <pane xSplit="2" ySplit="4" topLeftCell="F85" activePane="bottomRight" state="frozen"/>
      <selection activeCell="I21" sqref="I21"/>
      <selection pane="topRight" activeCell="I21" sqref="I21"/>
      <selection pane="bottomLeft" activeCell="I21" sqref="I21"/>
      <selection pane="bottomRight" activeCell="I21" sqref="I21"/>
    </sheetView>
  </sheetViews>
  <sheetFormatPr defaultColWidth="8.7265625" defaultRowHeight="12.5" x14ac:dyDescent="0.25"/>
  <cols>
    <col min="1" max="1" width="19.1796875" customWidth="1"/>
    <col min="2" max="2" width="27.81640625" bestFit="1" customWidth="1"/>
    <col min="3" max="14" width="14.81640625" bestFit="1" customWidth="1"/>
    <col min="15" max="15" width="10.453125" bestFit="1" customWidth="1"/>
  </cols>
  <sheetData>
    <row r="3" spans="1:15" x14ac:dyDescent="0.25">
      <c r="A3" s="210"/>
      <c r="B3" s="211"/>
      <c r="C3" s="212" t="s">
        <v>55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3"/>
    </row>
    <row r="4" spans="1:15" x14ac:dyDescent="0.25">
      <c r="A4" s="212" t="s">
        <v>0</v>
      </c>
      <c r="B4" s="212" t="s">
        <v>24</v>
      </c>
      <c r="C4" s="214">
        <v>45658</v>
      </c>
      <c r="D4" s="215">
        <v>45689</v>
      </c>
      <c r="E4" s="215">
        <v>45717</v>
      </c>
      <c r="F4" s="215">
        <v>45748</v>
      </c>
      <c r="G4" s="215">
        <v>45778</v>
      </c>
      <c r="H4" s="215">
        <v>45809</v>
      </c>
      <c r="I4" s="215">
        <v>45839</v>
      </c>
      <c r="J4" s="215">
        <v>45870</v>
      </c>
      <c r="K4" s="215">
        <v>45901</v>
      </c>
      <c r="L4" s="215">
        <v>45931</v>
      </c>
      <c r="M4" s="215">
        <v>45962</v>
      </c>
      <c r="N4" s="215">
        <v>45992</v>
      </c>
      <c r="O4" s="216" t="s">
        <v>18</v>
      </c>
    </row>
    <row r="5" spans="1:15" x14ac:dyDescent="0.25">
      <c r="A5" s="210" t="s">
        <v>14</v>
      </c>
      <c r="B5" s="210" t="s">
        <v>72</v>
      </c>
      <c r="C5" s="217">
        <v>483.82851020973862</v>
      </c>
      <c r="D5" s="218">
        <v>551.94515346908065</v>
      </c>
      <c r="E5" s="218">
        <v>358.11323478257049</v>
      </c>
      <c r="F5" s="218">
        <v>290.99830686527758</v>
      </c>
      <c r="G5" s="218">
        <v>391.16984107019238</v>
      </c>
      <c r="H5" s="218">
        <v>448.76847323801843</v>
      </c>
      <c r="I5" s="218">
        <v>514.88168581326215</v>
      </c>
      <c r="J5" s="218">
        <v>528.40484293092572</v>
      </c>
      <c r="K5" s="218">
        <v>408.19900188502794</v>
      </c>
      <c r="L5" s="218">
        <v>369.6329612161357</v>
      </c>
      <c r="M5" s="218">
        <v>353.60551574334932</v>
      </c>
      <c r="N5" s="218">
        <v>432.24017009420749</v>
      </c>
      <c r="O5" s="219">
        <v>5131.7876973177863</v>
      </c>
    </row>
    <row r="6" spans="1:15" ht="13" x14ac:dyDescent="0.3">
      <c r="A6" s="220"/>
      <c r="B6" s="221" t="s">
        <v>25</v>
      </c>
      <c r="C6" s="222">
        <v>243.96754236621655</v>
      </c>
      <c r="D6" s="223">
        <v>278.31493963516624</v>
      </c>
      <c r="E6" s="223">
        <v>180.57639005366957</v>
      </c>
      <c r="F6" s="223">
        <v>146.73410156808677</v>
      </c>
      <c r="G6" s="223">
        <v>197.24497990477755</v>
      </c>
      <c r="H6" s="223">
        <v>226.28873494837478</v>
      </c>
      <c r="I6" s="223">
        <v>259.62591465059063</v>
      </c>
      <c r="J6" s="223">
        <v>266.44488322604394</v>
      </c>
      <c r="K6" s="223">
        <v>205.83182922201502</v>
      </c>
      <c r="L6" s="223">
        <v>186.38514106238904</v>
      </c>
      <c r="M6" s="223">
        <v>178.30340052851849</v>
      </c>
      <c r="N6" s="223">
        <v>217.95444002282079</v>
      </c>
      <c r="O6" s="224">
        <v>2587.6722971886693</v>
      </c>
    </row>
    <row r="7" spans="1:15" ht="13" x14ac:dyDescent="0.3">
      <c r="A7" s="220"/>
      <c r="B7" s="221" t="s">
        <v>26</v>
      </c>
      <c r="C7" s="222">
        <v>17.468433586654296</v>
      </c>
      <c r="D7" s="223">
        <v>19.927757569868565</v>
      </c>
      <c r="E7" s="223">
        <v>12.929534176457372</v>
      </c>
      <c r="F7" s="223">
        <v>10.506376722408019</v>
      </c>
      <c r="G7" s="223">
        <v>14.123029638899592</v>
      </c>
      <c r="H7" s="223">
        <v>16.202605065882246</v>
      </c>
      <c r="I7" s="223">
        <v>18.589595990766686</v>
      </c>
      <c r="J7" s="223">
        <v>19.077844134493049</v>
      </c>
      <c r="K7" s="223">
        <v>14.737860634703157</v>
      </c>
      <c r="L7" s="223">
        <v>13.345449261853902</v>
      </c>
      <c r="M7" s="223">
        <v>12.766784795215251</v>
      </c>
      <c r="N7" s="223">
        <v>15.605857334661135</v>
      </c>
      <c r="O7" s="224">
        <v>185.28112891186325</v>
      </c>
    </row>
    <row r="8" spans="1:15" ht="13" x14ac:dyDescent="0.3">
      <c r="A8" s="220"/>
      <c r="B8" s="221" t="s">
        <v>27</v>
      </c>
      <c r="C8" s="222">
        <v>261.43597595287082</v>
      </c>
      <c r="D8" s="223">
        <v>298.2426972050348</v>
      </c>
      <c r="E8" s="223">
        <v>193.50592423012694</v>
      </c>
      <c r="F8" s="223">
        <v>157.24047829049479</v>
      </c>
      <c r="G8" s="223">
        <v>211.36800954367715</v>
      </c>
      <c r="H8" s="223">
        <v>242.49134001425702</v>
      </c>
      <c r="I8" s="223">
        <v>278.2155106413573</v>
      </c>
      <c r="J8" s="223">
        <v>285.52272736053698</v>
      </c>
      <c r="K8" s="223">
        <v>220.56968985671818</v>
      </c>
      <c r="L8" s="223">
        <v>199.73059032424294</v>
      </c>
      <c r="M8" s="223">
        <v>191.07018532373374</v>
      </c>
      <c r="N8" s="223">
        <v>233.56029735748191</v>
      </c>
      <c r="O8" s="224">
        <v>2772.9534261005329</v>
      </c>
    </row>
    <row r="9" spans="1:15" x14ac:dyDescent="0.25">
      <c r="A9" s="220"/>
      <c r="B9" s="221" t="s">
        <v>51</v>
      </c>
      <c r="C9" s="225">
        <v>239.86096784352208</v>
      </c>
      <c r="D9" s="226">
        <v>273.63021383391441</v>
      </c>
      <c r="E9" s="226">
        <v>177.53684472890092</v>
      </c>
      <c r="F9" s="226">
        <v>144.26420529719081</v>
      </c>
      <c r="G9" s="226">
        <v>193.92486116541482</v>
      </c>
      <c r="H9" s="226">
        <v>222.47973828964365</v>
      </c>
      <c r="I9" s="226">
        <v>255.25577116267152</v>
      </c>
      <c r="J9" s="226">
        <v>261.95995970488178</v>
      </c>
      <c r="K9" s="226">
        <v>202.36717266301292</v>
      </c>
      <c r="L9" s="226">
        <v>183.24782015374666</v>
      </c>
      <c r="M9" s="226">
        <v>175.30211521483082</v>
      </c>
      <c r="N9" s="226">
        <v>214.28573007138669</v>
      </c>
      <c r="O9" s="227">
        <v>2544.115400129117</v>
      </c>
    </row>
    <row r="10" spans="1:15" x14ac:dyDescent="0.25">
      <c r="A10" s="220"/>
      <c r="B10" s="221" t="s">
        <v>89</v>
      </c>
      <c r="C10" s="225">
        <v>0</v>
      </c>
      <c r="D10" s="226">
        <v>0</v>
      </c>
      <c r="E10" s="226">
        <v>0</v>
      </c>
      <c r="F10" s="226">
        <v>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  <c r="L10" s="226">
        <v>0</v>
      </c>
      <c r="M10" s="226">
        <v>0</v>
      </c>
      <c r="N10" s="226">
        <v>0</v>
      </c>
      <c r="O10" s="227">
        <v>0</v>
      </c>
    </row>
    <row r="11" spans="1:15" x14ac:dyDescent="0.25">
      <c r="A11" s="220"/>
      <c r="B11" s="221" t="s">
        <v>91</v>
      </c>
      <c r="C11" s="225">
        <v>0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0</v>
      </c>
      <c r="N11" s="226">
        <v>0</v>
      </c>
      <c r="O11" s="227">
        <v>0</v>
      </c>
    </row>
    <row r="12" spans="1:15" x14ac:dyDescent="0.25">
      <c r="A12" s="210" t="s">
        <v>17</v>
      </c>
      <c r="B12" s="210" t="s">
        <v>72</v>
      </c>
      <c r="C12" s="217">
        <v>53.090913128604861</v>
      </c>
      <c r="D12" s="218">
        <v>51.087482444506563</v>
      </c>
      <c r="E12" s="218">
        <v>50.08576710245741</v>
      </c>
      <c r="F12" s="218">
        <v>30.051460261474446</v>
      </c>
      <c r="G12" s="218">
        <v>48.08233641835912</v>
      </c>
      <c r="H12" s="218">
        <v>59.602062851924323</v>
      </c>
      <c r="I12" s="218">
        <v>59.101205180899747</v>
      </c>
      <c r="J12" s="218">
        <v>59.602062851924323</v>
      </c>
      <c r="K12" s="218">
        <v>50.586624773481986</v>
      </c>
      <c r="L12" s="218">
        <v>53.090913128604861</v>
      </c>
      <c r="M12" s="218">
        <v>17.530018485860094</v>
      </c>
      <c r="N12" s="218">
        <v>51.588340115531132</v>
      </c>
      <c r="O12" s="219">
        <v>583.4991867436288</v>
      </c>
    </row>
    <row r="13" spans="1:15" ht="13" x14ac:dyDescent="0.3">
      <c r="A13" s="220"/>
      <c r="B13" s="221" t="s">
        <v>25</v>
      </c>
      <c r="C13" s="222">
        <v>26.770765518446126</v>
      </c>
      <c r="D13" s="223">
        <v>25.760547951712308</v>
      </c>
      <c r="E13" s="223">
        <v>25.255439168345397</v>
      </c>
      <c r="F13" s="223">
        <v>15.153263501007237</v>
      </c>
      <c r="G13" s="223">
        <v>24.245221601611586</v>
      </c>
      <c r="H13" s="223">
        <v>30.053972610331027</v>
      </c>
      <c r="I13" s="223">
        <v>29.801418218647569</v>
      </c>
      <c r="J13" s="223">
        <v>30.053972610331027</v>
      </c>
      <c r="K13" s="223">
        <v>25.507993560028851</v>
      </c>
      <c r="L13" s="223">
        <v>26.770765518446126</v>
      </c>
      <c r="M13" s="223">
        <v>8.839403708920889</v>
      </c>
      <c r="N13" s="223">
        <v>26.013102343395758</v>
      </c>
      <c r="O13" s="224">
        <v>294.22586631122385</v>
      </c>
    </row>
    <row r="14" spans="1:15" ht="13" x14ac:dyDescent="0.3">
      <c r="A14" s="220"/>
      <c r="B14" s="221" t="s">
        <v>26</v>
      </c>
      <c r="C14" s="222">
        <v>1.9168260457405335</v>
      </c>
      <c r="D14" s="223">
        <v>1.8444929874107021</v>
      </c>
      <c r="E14" s="223">
        <v>1.8083264582457863</v>
      </c>
      <c r="F14" s="223">
        <v>1.0849958749474717</v>
      </c>
      <c r="G14" s="223">
        <v>1.7359933999159549</v>
      </c>
      <c r="H14" s="223">
        <v>2.1519084853124855</v>
      </c>
      <c r="I14" s="223">
        <v>2.1338252207300279</v>
      </c>
      <c r="J14" s="223">
        <v>2.1519084853124855</v>
      </c>
      <c r="K14" s="223">
        <v>1.8264097228282441</v>
      </c>
      <c r="L14" s="223">
        <v>1.9168260457405335</v>
      </c>
      <c r="M14" s="223">
        <v>0.63291426038602527</v>
      </c>
      <c r="N14" s="223">
        <v>1.8625762519931599</v>
      </c>
      <c r="O14" s="224">
        <v>21.067003238563412</v>
      </c>
    </row>
    <row r="15" spans="1:15" ht="13" x14ac:dyDescent="0.3">
      <c r="A15" s="220"/>
      <c r="B15" s="221" t="s">
        <v>27</v>
      </c>
      <c r="C15" s="222">
        <v>28.687591564186661</v>
      </c>
      <c r="D15" s="223">
        <v>27.605040939123011</v>
      </c>
      <c r="E15" s="223">
        <v>27.063765626591184</v>
      </c>
      <c r="F15" s="223">
        <v>16.238259375954708</v>
      </c>
      <c r="G15" s="223">
        <v>25.981215001527541</v>
      </c>
      <c r="H15" s="223">
        <v>32.205881095643512</v>
      </c>
      <c r="I15" s="223">
        <v>31.935243439377597</v>
      </c>
      <c r="J15" s="223">
        <v>32.205881095643512</v>
      </c>
      <c r="K15" s="223">
        <v>27.334403282857096</v>
      </c>
      <c r="L15" s="223">
        <v>28.687591564186661</v>
      </c>
      <c r="M15" s="223">
        <v>9.4723179693069142</v>
      </c>
      <c r="N15" s="223">
        <v>27.875678595388919</v>
      </c>
      <c r="O15" s="224">
        <v>315.29286954978733</v>
      </c>
    </row>
    <row r="16" spans="1:15" x14ac:dyDescent="0.25">
      <c r="A16" s="220"/>
      <c r="B16" s="221" t="s">
        <v>51</v>
      </c>
      <c r="C16" s="225">
        <v>26.320147610158735</v>
      </c>
      <c r="D16" s="226">
        <v>25.326934492794255</v>
      </c>
      <c r="E16" s="226">
        <v>24.830327934112013</v>
      </c>
      <c r="F16" s="226">
        <v>14.89819676046721</v>
      </c>
      <c r="G16" s="226">
        <v>23.837114816747533</v>
      </c>
      <c r="H16" s="226">
        <v>29.548090241593297</v>
      </c>
      <c r="I16" s="226">
        <v>29.299786962252178</v>
      </c>
      <c r="J16" s="226">
        <v>29.548090241593297</v>
      </c>
      <c r="K16" s="226">
        <v>25.078631213453136</v>
      </c>
      <c r="L16" s="226">
        <v>26.320147610158735</v>
      </c>
      <c r="M16" s="226">
        <v>8.6906147769392046</v>
      </c>
      <c r="N16" s="226">
        <v>25.575237772135374</v>
      </c>
      <c r="O16" s="227">
        <v>289.27332043240494</v>
      </c>
    </row>
    <row r="17" spans="1:15" x14ac:dyDescent="0.25">
      <c r="A17" s="220"/>
      <c r="B17" s="221" t="s">
        <v>89</v>
      </c>
      <c r="C17" s="225">
        <v>0</v>
      </c>
      <c r="D17" s="226">
        <v>0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0</v>
      </c>
      <c r="K17" s="226">
        <v>0</v>
      </c>
      <c r="L17" s="226">
        <v>0</v>
      </c>
      <c r="M17" s="226">
        <v>0</v>
      </c>
      <c r="N17" s="226">
        <v>0</v>
      </c>
      <c r="O17" s="227">
        <v>0</v>
      </c>
    </row>
    <row r="18" spans="1:15" x14ac:dyDescent="0.25">
      <c r="A18" s="220"/>
      <c r="B18" s="221" t="s">
        <v>91</v>
      </c>
      <c r="C18" s="225">
        <v>0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226">
        <v>0</v>
      </c>
      <c r="J18" s="226">
        <v>0</v>
      </c>
      <c r="K18" s="226">
        <v>0</v>
      </c>
      <c r="L18" s="226">
        <v>0</v>
      </c>
      <c r="M18" s="226">
        <v>0</v>
      </c>
      <c r="N18" s="226">
        <v>0</v>
      </c>
      <c r="O18" s="227">
        <v>0</v>
      </c>
    </row>
    <row r="19" spans="1:15" x14ac:dyDescent="0.25">
      <c r="A19" s="210" t="s">
        <v>13</v>
      </c>
      <c r="B19" s="210" t="s">
        <v>72</v>
      </c>
      <c r="C19" s="217">
        <v>658.62783739731492</v>
      </c>
      <c r="D19" s="218">
        <v>689.68101300083856</v>
      </c>
      <c r="E19" s="218">
        <v>396.17841778043811</v>
      </c>
      <c r="F19" s="218">
        <v>302.01717562781818</v>
      </c>
      <c r="G19" s="218">
        <v>369.6329612161357</v>
      </c>
      <c r="H19" s="218">
        <v>425.22816269986345</v>
      </c>
      <c r="I19" s="218">
        <v>489.83880226203348</v>
      </c>
      <c r="J19" s="218">
        <v>500.85767102457413</v>
      </c>
      <c r="K19" s="218">
        <v>422.72387434474058</v>
      </c>
      <c r="L19" s="218">
        <v>380.65182997867635</v>
      </c>
      <c r="M19" s="218">
        <v>374.64153792638143</v>
      </c>
      <c r="N19" s="218">
        <v>535.91770799629433</v>
      </c>
      <c r="O19" s="219">
        <v>5545.9969912551105</v>
      </c>
    </row>
    <row r="20" spans="1:15" ht="13" x14ac:dyDescent="0.3">
      <c r="A20" s="220"/>
      <c r="B20" s="221" t="s">
        <v>25</v>
      </c>
      <c r="C20" s="222">
        <v>332.10902506374191</v>
      </c>
      <c r="D20" s="223">
        <v>347.76739734811611</v>
      </c>
      <c r="E20" s="223">
        <v>199.77052382161207</v>
      </c>
      <c r="F20" s="223">
        <v>152.29029818512274</v>
      </c>
      <c r="G20" s="223">
        <v>186.38514106238904</v>
      </c>
      <c r="H20" s="223">
        <v>214.41867853925245</v>
      </c>
      <c r="I20" s="223">
        <v>246.99819506641799</v>
      </c>
      <c r="J20" s="223">
        <v>252.55439168345399</v>
      </c>
      <c r="K20" s="223">
        <v>213.15590658083516</v>
      </c>
      <c r="L20" s="223">
        <v>191.94133767942503</v>
      </c>
      <c r="M20" s="223">
        <v>188.91068497922356</v>
      </c>
      <c r="N20" s="223">
        <v>270.23319910129578</v>
      </c>
      <c r="O20" s="224">
        <v>2796.5347791108857</v>
      </c>
    </row>
    <row r="21" spans="1:15" ht="13" x14ac:dyDescent="0.3">
      <c r="A21" s="220"/>
      <c r="B21" s="221" t="s">
        <v>26</v>
      </c>
      <c r="C21" s="222">
        <v>23.77949292593209</v>
      </c>
      <c r="D21" s="223">
        <v>24.900655330044476</v>
      </c>
      <c r="E21" s="223">
        <v>14.30386228472417</v>
      </c>
      <c r="F21" s="223">
        <v>10.904208543222092</v>
      </c>
      <c r="G21" s="223">
        <v>13.345449261853902</v>
      </c>
      <c r="H21" s="223">
        <v>15.352691630506724</v>
      </c>
      <c r="I21" s="223">
        <v>17.685432761643792</v>
      </c>
      <c r="J21" s="223">
        <v>18.083264582457865</v>
      </c>
      <c r="K21" s="223">
        <v>15.262275307594438</v>
      </c>
      <c r="L21" s="223">
        <v>13.743281082667977</v>
      </c>
      <c r="M21" s="223">
        <v>13.526281907678481</v>
      </c>
      <c r="N21" s="223">
        <v>19.349093103229915</v>
      </c>
      <c r="O21" s="224">
        <v>200.23598872155591</v>
      </c>
    </row>
    <row r="22" spans="1:15" ht="13" x14ac:dyDescent="0.3">
      <c r="A22" s="220"/>
      <c r="B22" s="221" t="s">
        <v>27</v>
      </c>
      <c r="C22" s="222">
        <v>355.88851798967403</v>
      </c>
      <c r="D22" s="223">
        <v>372.66805267816056</v>
      </c>
      <c r="E22" s="223">
        <v>214.07438610633625</v>
      </c>
      <c r="F22" s="223">
        <v>163.19450672834483</v>
      </c>
      <c r="G22" s="223">
        <v>199.73059032424294</v>
      </c>
      <c r="H22" s="223">
        <v>229.77137016975917</v>
      </c>
      <c r="I22" s="223">
        <v>264.68362782806179</v>
      </c>
      <c r="J22" s="223">
        <v>270.63765626591186</v>
      </c>
      <c r="K22" s="223">
        <v>228.41818188842961</v>
      </c>
      <c r="L22" s="223">
        <v>205.68461876209301</v>
      </c>
      <c r="M22" s="223">
        <v>202.43696688690204</v>
      </c>
      <c r="N22" s="223">
        <v>289.58229220452569</v>
      </c>
      <c r="O22" s="224">
        <v>2996.7707678324423</v>
      </c>
    </row>
    <row r="23" spans="1:15" x14ac:dyDescent="0.25">
      <c r="A23" s="220"/>
      <c r="B23" s="221" t="s">
        <v>51</v>
      </c>
      <c r="C23" s="225">
        <v>326.51881233357301</v>
      </c>
      <c r="D23" s="226">
        <v>341.91361565272246</v>
      </c>
      <c r="E23" s="226">
        <v>196.40789395882604</v>
      </c>
      <c r="F23" s="226">
        <v>149.72687744269544</v>
      </c>
      <c r="G23" s="226">
        <v>183.24782015374666</v>
      </c>
      <c r="H23" s="226">
        <v>210.80948416061099</v>
      </c>
      <c r="I23" s="226">
        <v>242.84060719561549</v>
      </c>
      <c r="J23" s="226">
        <v>248.30327934112015</v>
      </c>
      <c r="K23" s="226">
        <v>209.56796776390541</v>
      </c>
      <c r="L23" s="226">
        <v>188.71049229925131</v>
      </c>
      <c r="M23" s="226">
        <v>185.73085294715787</v>
      </c>
      <c r="N23" s="226">
        <v>265.68450889499854</v>
      </c>
      <c r="O23" s="227">
        <v>2749.4622121442235</v>
      </c>
    </row>
    <row r="24" spans="1:15" x14ac:dyDescent="0.25">
      <c r="A24" s="220"/>
      <c r="B24" s="221" t="s">
        <v>89</v>
      </c>
      <c r="C24" s="225">
        <v>0</v>
      </c>
      <c r="D24" s="226">
        <v>0</v>
      </c>
      <c r="E24" s="226">
        <v>0</v>
      </c>
      <c r="F24" s="226">
        <v>0</v>
      </c>
      <c r="G24" s="226">
        <v>0</v>
      </c>
      <c r="H24" s="226">
        <v>0</v>
      </c>
      <c r="I24" s="226">
        <v>0</v>
      </c>
      <c r="J24" s="226">
        <v>0</v>
      </c>
      <c r="K24" s="226">
        <v>0</v>
      </c>
      <c r="L24" s="226">
        <v>0</v>
      </c>
      <c r="M24" s="226">
        <v>0</v>
      </c>
      <c r="N24" s="226">
        <v>0</v>
      </c>
      <c r="O24" s="227">
        <v>0</v>
      </c>
    </row>
    <row r="25" spans="1:15" x14ac:dyDescent="0.25">
      <c r="A25" s="220"/>
      <c r="B25" s="221" t="s">
        <v>91</v>
      </c>
      <c r="C25" s="225">
        <v>0</v>
      </c>
      <c r="D25" s="226">
        <v>0</v>
      </c>
      <c r="E25" s="226">
        <v>0</v>
      </c>
      <c r="F25" s="226">
        <v>0</v>
      </c>
      <c r="G25" s="226">
        <v>0</v>
      </c>
      <c r="H25" s="226">
        <v>0</v>
      </c>
      <c r="I25" s="226">
        <v>0</v>
      </c>
      <c r="J25" s="226">
        <v>0</v>
      </c>
      <c r="K25" s="226">
        <v>0</v>
      </c>
      <c r="L25" s="226">
        <v>0</v>
      </c>
      <c r="M25" s="226">
        <v>0</v>
      </c>
      <c r="N25" s="226">
        <v>0</v>
      </c>
      <c r="O25" s="227">
        <v>0</v>
      </c>
    </row>
    <row r="26" spans="1:15" x14ac:dyDescent="0.25">
      <c r="A26" s="210" t="s">
        <v>15</v>
      </c>
      <c r="B26" s="210" t="s">
        <v>72</v>
      </c>
      <c r="C26" s="217">
        <v>3.506003697172019</v>
      </c>
      <c r="D26" s="218">
        <v>4.006861368196593</v>
      </c>
      <c r="E26" s="218">
        <v>3.506003697172019</v>
      </c>
      <c r="F26" s="218">
        <v>1.5025730130737225</v>
      </c>
      <c r="G26" s="218">
        <v>2.5042883551228705</v>
      </c>
      <c r="H26" s="218">
        <v>5.008576710245741</v>
      </c>
      <c r="I26" s="218">
        <v>8.5145804074177605</v>
      </c>
      <c r="J26" s="218">
        <v>8.013722736393186</v>
      </c>
      <c r="K26" s="218">
        <v>4.006861368196593</v>
      </c>
      <c r="L26" s="218">
        <v>4.006861368196593</v>
      </c>
      <c r="M26" s="218">
        <v>3.005146026147445</v>
      </c>
      <c r="N26" s="218">
        <v>3.506003697172019</v>
      </c>
      <c r="O26" s="219">
        <v>51.087482444506563</v>
      </c>
    </row>
    <row r="27" spans="1:15" ht="13" x14ac:dyDescent="0.3">
      <c r="A27" s="220"/>
      <c r="B27" s="221" t="s">
        <v>25</v>
      </c>
      <c r="C27" s="222">
        <v>1.767880741784178</v>
      </c>
      <c r="D27" s="223">
        <v>2.0204351334676316</v>
      </c>
      <c r="E27" s="223">
        <v>1.767880741784178</v>
      </c>
      <c r="F27" s="223">
        <v>0.75766317505036207</v>
      </c>
      <c r="G27" s="223">
        <v>1.2627719584172699</v>
      </c>
      <c r="H27" s="223">
        <v>2.5255439168345397</v>
      </c>
      <c r="I27" s="223">
        <v>4.2934246586187177</v>
      </c>
      <c r="J27" s="223">
        <v>4.0408702669352632</v>
      </c>
      <c r="K27" s="223">
        <v>2.0204351334676316</v>
      </c>
      <c r="L27" s="223">
        <v>2.0204351334676316</v>
      </c>
      <c r="M27" s="223">
        <v>1.5153263501007241</v>
      </c>
      <c r="N27" s="223">
        <v>1.767880741784178</v>
      </c>
      <c r="O27" s="224">
        <v>25.760547951712311</v>
      </c>
    </row>
    <row r="28" spans="1:15" ht="13" x14ac:dyDescent="0.3">
      <c r="A28" s="220"/>
      <c r="B28" s="221" t="s">
        <v>26</v>
      </c>
      <c r="C28" s="222">
        <v>0.12658285207720504</v>
      </c>
      <c r="D28" s="223">
        <v>0.14466611665966289</v>
      </c>
      <c r="E28" s="223">
        <v>0.12658285207720504</v>
      </c>
      <c r="F28" s="223">
        <v>5.4249793747373591E-2</v>
      </c>
      <c r="G28" s="223">
        <v>9.0416322912289307E-2</v>
      </c>
      <c r="H28" s="223">
        <v>0.18083264582457861</v>
      </c>
      <c r="I28" s="223">
        <v>0.30741549790178363</v>
      </c>
      <c r="J28" s="223">
        <v>0.28933223331932578</v>
      </c>
      <c r="K28" s="223">
        <v>0.14466611665966289</v>
      </c>
      <c r="L28" s="223">
        <v>0.14466611665966289</v>
      </c>
      <c r="M28" s="223">
        <v>0.10849958749474718</v>
      </c>
      <c r="N28" s="223">
        <v>0.12658285207720504</v>
      </c>
      <c r="O28" s="224">
        <v>1.8444929874107017</v>
      </c>
    </row>
    <row r="29" spans="1:15" ht="13" x14ac:dyDescent="0.3">
      <c r="A29" s="220"/>
      <c r="B29" s="221" t="s">
        <v>27</v>
      </c>
      <c r="C29" s="222">
        <v>1.894463593861383</v>
      </c>
      <c r="D29" s="223">
        <v>2.1651012501272944</v>
      </c>
      <c r="E29" s="223">
        <v>1.894463593861383</v>
      </c>
      <c r="F29" s="223">
        <v>0.81191296879773567</v>
      </c>
      <c r="G29" s="223">
        <v>1.3531882813295593</v>
      </c>
      <c r="H29" s="223">
        <v>2.7063765626591185</v>
      </c>
      <c r="I29" s="223">
        <v>4.6008401565205013</v>
      </c>
      <c r="J29" s="223">
        <v>4.3302025002545887</v>
      </c>
      <c r="K29" s="223">
        <v>2.1651012501272944</v>
      </c>
      <c r="L29" s="223">
        <v>2.1651012501272944</v>
      </c>
      <c r="M29" s="223">
        <v>1.6238259375954713</v>
      </c>
      <c r="N29" s="223">
        <v>1.894463593861383</v>
      </c>
      <c r="O29" s="224">
        <v>27.605040939123</v>
      </c>
    </row>
    <row r="30" spans="1:15" x14ac:dyDescent="0.25">
      <c r="A30" s="220"/>
      <c r="B30" s="221" t="s">
        <v>51</v>
      </c>
      <c r="C30" s="225">
        <v>1.738122955387841</v>
      </c>
      <c r="D30" s="226">
        <v>1.9864262347289612</v>
      </c>
      <c r="E30" s="226">
        <v>1.738122955387841</v>
      </c>
      <c r="F30" s="226">
        <v>0.74490983802336042</v>
      </c>
      <c r="G30" s="226">
        <v>1.2415163967056007</v>
      </c>
      <c r="H30" s="226">
        <v>2.4830327934112013</v>
      </c>
      <c r="I30" s="226">
        <v>4.2211557487990428</v>
      </c>
      <c r="J30" s="226">
        <v>3.9728524694579224</v>
      </c>
      <c r="K30" s="226">
        <v>1.9864262347289612</v>
      </c>
      <c r="L30" s="226">
        <v>1.9864262347289612</v>
      </c>
      <c r="M30" s="226">
        <v>1.4898196760467208</v>
      </c>
      <c r="N30" s="226">
        <v>1.738122955387841</v>
      </c>
      <c r="O30" s="227">
        <v>25.326934492794251</v>
      </c>
    </row>
    <row r="31" spans="1:15" x14ac:dyDescent="0.25">
      <c r="A31" s="220"/>
      <c r="B31" s="221" t="s">
        <v>89</v>
      </c>
      <c r="C31" s="225">
        <v>0</v>
      </c>
      <c r="D31" s="226">
        <v>0</v>
      </c>
      <c r="E31" s="226">
        <v>0</v>
      </c>
      <c r="F31" s="226">
        <v>0</v>
      </c>
      <c r="G31" s="226">
        <v>0</v>
      </c>
      <c r="H31" s="226">
        <v>0</v>
      </c>
      <c r="I31" s="226">
        <v>0</v>
      </c>
      <c r="J31" s="226">
        <v>0</v>
      </c>
      <c r="K31" s="226">
        <v>0</v>
      </c>
      <c r="L31" s="226">
        <v>0</v>
      </c>
      <c r="M31" s="226">
        <v>0</v>
      </c>
      <c r="N31" s="226">
        <v>0</v>
      </c>
      <c r="O31" s="227">
        <v>0</v>
      </c>
    </row>
    <row r="32" spans="1:15" x14ac:dyDescent="0.25">
      <c r="A32" s="220"/>
      <c r="B32" s="221" t="s">
        <v>91</v>
      </c>
      <c r="C32" s="225">
        <v>0</v>
      </c>
      <c r="D32" s="226">
        <v>0</v>
      </c>
      <c r="E32" s="226">
        <v>0</v>
      </c>
      <c r="F32" s="226">
        <v>0</v>
      </c>
      <c r="G32" s="226">
        <v>0</v>
      </c>
      <c r="H32" s="226">
        <v>0</v>
      </c>
      <c r="I32" s="226">
        <v>0</v>
      </c>
      <c r="J32" s="226">
        <v>0</v>
      </c>
      <c r="K32" s="226">
        <v>0</v>
      </c>
      <c r="L32" s="226">
        <v>0</v>
      </c>
      <c r="M32" s="226">
        <v>0</v>
      </c>
      <c r="N32" s="226">
        <v>0</v>
      </c>
      <c r="O32" s="227">
        <v>0</v>
      </c>
    </row>
    <row r="33" spans="1:15" x14ac:dyDescent="0.25">
      <c r="A33" s="210" t="s">
        <v>16</v>
      </c>
      <c r="B33" s="210" t="s">
        <v>72</v>
      </c>
      <c r="C33" s="217">
        <v>1.0017153420491482</v>
      </c>
      <c r="D33" s="218">
        <v>1.5025730130737225</v>
      </c>
      <c r="E33" s="218">
        <v>1.0017153420491482</v>
      </c>
      <c r="F33" s="218">
        <v>0.50085767102457412</v>
      </c>
      <c r="G33" s="218">
        <v>1.0017153420491482</v>
      </c>
      <c r="H33" s="218">
        <v>1.5025730130737225</v>
      </c>
      <c r="I33" s="218">
        <v>3.506003697172019</v>
      </c>
      <c r="J33" s="218">
        <v>2.5042883551228705</v>
      </c>
      <c r="K33" s="218">
        <v>1.0017153420491482</v>
      </c>
      <c r="L33" s="218">
        <v>1.5025730130737225</v>
      </c>
      <c r="M33" s="218">
        <v>0.50085767102457412</v>
      </c>
      <c r="N33" s="218">
        <v>1.0017153420491482</v>
      </c>
      <c r="O33" s="219">
        <v>16.528303143810945</v>
      </c>
    </row>
    <row r="34" spans="1:15" ht="13" x14ac:dyDescent="0.3">
      <c r="A34" s="220"/>
      <c r="B34" s="221" t="s">
        <v>25</v>
      </c>
      <c r="C34" s="222">
        <v>0.5051087833669079</v>
      </c>
      <c r="D34" s="223">
        <v>0.75766317505036207</v>
      </c>
      <c r="E34" s="223">
        <v>0.5051087833669079</v>
      </c>
      <c r="F34" s="223">
        <v>0.25255439168345395</v>
      </c>
      <c r="G34" s="223">
        <v>0.5051087833669079</v>
      </c>
      <c r="H34" s="223">
        <v>0.75766317505036207</v>
      </c>
      <c r="I34" s="223">
        <v>1.767880741784178</v>
      </c>
      <c r="J34" s="223">
        <v>1.2627719584172699</v>
      </c>
      <c r="K34" s="223">
        <v>0.5051087833669079</v>
      </c>
      <c r="L34" s="223">
        <v>0.75766317505036207</v>
      </c>
      <c r="M34" s="223">
        <v>0.25255439168345395</v>
      </c>
      <c r="N34" s="223">
        <v>0.5051087833669079</v>
      </c>
      <c r="O34" s="224">
        <v>8.33429492555398</v>
      </c>
    </row>
    <row r="35" spans="1:15" ht="13" x14ac:dyDescent="0.3">
      <c r="A35" s="220"/>
      <c r="B35" s="221" t="s">
        <v>26</v>
      </c>
      <c r="C35" s="222">
        <v>3.6166529164915723E-2</v>
      </c>
      <c r="D35" s="223">
        <v>5.4249793747373591E-2</v>
      </c>
      <c r="E35" s="223">
        <v>3.6166529164915723E-2</v>
      </c>
      <c r="F35" s="223">
        <v>1.8083264582457861E-2</v>
      </c>
      <c r="G35" s="223">
        <v>3.6166529164915723E-2</v>
      </c>
      <c r="H35" s="223">
        <v>5.4249793747373591E-2</v>
      </c>
      <c r="I35" s="223">
        <v>0.12658285207720504</v>
      </c>
      <c r="J35" s="223">
        <v>9.0416322912289307E-2</v>
      </c>
      <c r="K35" s="223">
        <v>3.6166529164915723E-2</v>
      </c>
      <c r="L35" s="223">
        <v>5.4249793747373591E-2</v>
      </c>
      <c r="M35" s="223">
        <v>1.8083264582457861E-2</v>
      </c>
      <c r="N35" s="223">
        <v>3.6166529164915723E-2</v>
      </c>
      <c r="O35" s="224">
        <v>0.59674773122110947</v>
      </c>
    </row>
    <row r="36" spans="1:15" ht="13" x14ac:dyDescent="0.3">
      <c r="A36" s="220"/>
      <c r="B36" s="221" t="s">
        <v>27</v>
      </c>
      <c r="C36" s="222">
        <v>0.54127531253182359</v>
      </c>
      <c r="D36" s="223">
        <v>0.81191296879773567</v>
      </c>
      <c r="E36" s="223">
        <v>0.54127531253182359</v>
      </c>
      <c r="F36" s="223">
        <v>0.2706376562659118</v>
      </c>
      <c r="G36" s="223">
        <v>0.54127531253182359</v>
      </c>
      <c r="H36" s="223">
        <v>0.81191296879773567</v>
      </c>
      <c r="I36" s="223">
        <v>1.894463593861383</v>
      </c>
      <c r="J36" s="223">
        <v>1.3531882813295593</v>
      </c>
      <c r="K36" s="223">
        <v>0.54127531253182359</v>
      </c>
      <c r="L36" s="223">
        <v>0.81191296879773567</v>
      </c>
      <c r="M36" s="223">
        <v>0.2706376562659118</v>
      </c>
      <c r="N36" s="223">
        <v>0.54127531253182359</v>
      </c>
      <c r="O36" s="224">
        <v>8.9310426567750891</v>
      </c>
    </row>
    <row r="37" spans="1:15" x14ac:dyDescent="0.25">
      <c r="A37" s="220"/>
      <c r="B37" s="221" t="s">
        <v>51</v>
      </c>
      <c r="C37" s="225">
        <v>0.4966065586822403</v>
      </c>
      <c r="D37" s="226">
        <v>0.74490983802336042</v>
      </c>
      <c r="E37" s="226">
        <v>0.4966065586822403</v>
      </c>
      <c r="F37" s="226">
        <v>0.24830327934112015</v>
      </c>
      <c r="G37" s="226">
        <v>0.4966065586822403</v>
      </c>
      <c r="H37" s="226">
        <v>0.74490983802336042</v>
      </c>
      <c r="I37" s="226">
        <v>1.738122955387841</v>
      </c>
      <c r="J37" s="226">
        <v>1.2415163967056007</v>
      </c>
      <c r="K37" s="226">
        <v>0.4966065586822403</v>
      </c>
      <c r="L37" s="226">
        <v>0.74490983802336042</v>
      </c>
      <c r="M37" s="226">
        <v>0.24830327934112015</v>
      </c>
      <c r="N37" s="226">
        <v>0.4966065586822403</v>
      </c>
      <c r="O37" s="227">
        <v>8.1940082182569647</v>
      </c>
    </row>
    <row r="38" spans="1:15" x14ac:dyDescent="0.25">
      <c r="A38" s="220"/>
      <c r="B38" s="221" t="s">
        <v>89</v>
      </c>
      <c r="C38" s="225">
        <v>0</v>
      </c>
      <c r="D38" s="226">
        <v>0</v>
      </c>
      <c r="E38" s="226">
        <v>0</v>
      </c>
      <c r="F38" s="226">
        <v>0</v>
      </c>
      <c r="G38" s="226">
        <v>0</v>
      </c>
      <c r="H38" s="226">
        <v>0</v>
      </c>
      <c r="I38" s="226">
        <v>0</v>
      </c>
      <c r="J38" s="226">
        <v>0</v>
      </c>
      <c r="K38" s="226">
        <v>0</v>
      </c>
      <c r="L38" s="226">
        <v>0</v>
      </c>
      <c r="M38" s="226">
        <v>0</v>
      </c>
      <c r="N38" s="226">
        <v>0</v>
      </c>
      <c r="O38" s="227">
        <v>0</v>
      </c>
    </row>
    <row r="39" spans="1:15" x14ac:dyDescent="0.25">
      <c r="A39" s="220"/>
      <c r="B39" s="221" t="s">
        <v>91</v>
      </c>
      <c r="C39" s="225">
        <v>0</v>
      </c>
      <c r="D39" s="226">
        <v>0</v>
      </c>
      <c r="E39" s="226">
        <v>0</v>
      </c>
      <c r="F39" s="226">
        <v>0</v>
      </c>
      <c r="G39" s="226">
        <v>0</v>
      </c>
      <c r="H39" s="226">
        <v>0</v>
      </c>
      <c r="I39" s="226">
        <v>0</v>
      </c>
      <c r="J39" s="226">
        <v>0</v>
      </c>
      <c r="K39" s="226">
        <v>0</v>
      </c>
      <c r="L39" s="226">
        <v>0</v>
      </c>
      <c r="M39" s="226">
        <v>0</v>
      </c>
      <c r="N39" s="226">
        <v>0</v>
      </c>
      <c r="O39" s="227">
        <v>0</v>
      </c>
    </row>
    <row r="40" spans="1:15" x14ac:dyDescent="0.25">
      <c r="A40" s="210" t="s">
        <v>19</v>
      </c>
      <c r="B40" s="210" t="s">
        <v>72</v>
      </c>
      <c r="C40" s="217">
        <v>35.060036971720187</v>
      </c>
      <c r="D40" s="218">
        <v>25.042883551228705</v>
      </c>
      <c r="E40" s="218">
        <v>33.557463958646466</v>
      </c>
      <c r="F40" s="218">
        <v>35.560894642744763</v>
      </c>
      <c r="G40" s="218">
        <v>32.054890945572744</v>
      </c>
      <c r="H40" s="218">
        <v>36.06175231376934</v>
      </c>
      <c r="I40" s="218">
        <v>5.5094343812703155</v>
      </c>
      <c r="J40" s="218">
        <v>31.053175603523595</v>
      </c>
      <c r="K40" s="218">
        <v>36.06175231376934</v>
      </c>
      <c r="L40" s="218">
        <v>36.06175231376934</v>
      </c>
      <c r="M40" s="218">
        <v>33.557463958646466</v>
      </c>
      <c r="N40" s="218">
        <v>34.058321629671042</v>
      </c>
      <c r="O40" s="219">
        <v>373.63982258433225</v>
      </c>
    </row>
    <row r="41" spans="1:15" ht="13" x14ac:dyDescent="0.3">
      <c r="A41" s="220"/>
      <c r="B41" s="221" t="s">
        <v>25</v>
      </c>
      <c r="C41" s="222">
        <v>17.678807417841778</v>
      </c>
      <c r="D41" s="223">
        <v>12.627719584172699</v>
      </c>
      <c r="E41" s="223">
        <v>16.921144242791417</v>
      </c>
      <c r="F41" s="223">
        <v>17.931361809525232</v>
      </c>
      <c r="G41" s="223">
        <v>16.163481067741053</v>
      </c>
      <c r="H41" s="223">
        <v>18.183916201208689</v>
      </c>
      <c r="I41" s="223">
        <v>2.7780983085179938</v>
      </c>
      <c r="J41" s="223">
        <v>15.658372284374146</v>
      </c>
      <c r="K41" s="223">
        <v>18.183916201208689</v>
      </c>
      <c r="L41" s="223">
        <v>18.183916201208689</v>
      </c>
      <c r="M41" s="223">
        <v>16.921144242791417</v>
      </c>
      <c r="N41" s="223">
        <v>17.173698634474871</v>
      </c>
      <c r="O41" s="224">
        <v>188.40557619585667</v>
      </c>
    </row>
    <row r="42" spans="1:15" ht="13" x14ac:dyDescent="0.3">
      <c r="A42" s="220"/>
      <c r="B42" s="221" t="s">
        <v>26</v>
      </c>
      <c r="C42" s="222">
        <v>1.2658285207720505</v>
      </c>
      <c r="D42" s="223">
        <v>0.90416322912289315</v>
      </c>
      <c r="E42" s="223">
        <v>1.2115787270246769</v>
      </c>
      <c r="F42" s="223">
        <v>1.2839117853545083</v>
      </c>
      <c r="G42" s="223">
        <v>1.1573289332773031</v>
      </c>
      <c r="H42" s="223">
        <v>1.3019950499369661</v>
      </c>
      <c r="I42" s="223">
        <v>0.19891591040703652</v>
      </c>
      <c r="J42" s="223">
        <v>1.1211624041123875</v>
      </c>
      <c r="K42" s="223">
        <v>1.3019950499369661</v>
      </c>
      <c r="L42" s="223">
        <v>1.3019950499369661</v>
      </c>
      <c r="M42" s="223">
        <v>1.2115787270246769</v>
      </c>
      <c r="N42" s="223">
        <v>1.2296619916071345</v>
      </c>
      <c r="O42" s="224">
        <v>13.490115378513567</v>
      </c>
    </row>
    <row r="43" spans="1:15" ht="13" x14ac:dyDescent="0.3">
      <c r="A43" s="220"/>
      <c r="B43" s="221" t="s">
        <v>27</v>
      </c>
      <c r="C43" s="222">
        <v>18.944635938613828</v>
      </c>
      <c r="D43" s="223">
        <v>13.531882813295592</v>
      </c>
      <c r="E43" s="223">
        <v>18.132722969816093</v>
      </c>
      <c r="F43" s="223">
        <v>19.21527359487974</v>
      </c>
      <c r="G43" s="223">
        <v>17.320810001018355</v>
      </c>
      <c r="H43" s="223">
        <v>19.485911251145655</v>
      </c>
      <c r="I43" s="223">
        <v>2.9770142189250302</v>
      </c>
      <c r="J43" s="223">
        <v>16.779534688486532</v>
      </c>
      <c r="K43" s="223">
        <v>19.485911251145655</v>
      </c>
      <c r="L43" s="223">
        <v>19.485911251145655</v>
      </c>
      <c r="M43" s="223">
        <v>18.132722969816093</v>
      </c>
      <c r="N43" s="223">
        <v>18.403360626082005</v>
      </c>
      <c r="O43" s="224">
        <v>201.89569157437023</v>
      </c>
    </row>
    <row r="44" spans="1:15" x14ac:dyDescent="0.25">
      <c r="A44" s="220"/>
      <c r="B44" s="221" t="s">
        <v>51</v>
      </c>
      <c r="C44" s="225">
        <v>17.381229553878409</v>
      </c>
      <c r="D44" s="226">
        <v>12.415163967056007</v>
      </c>
      <c r="E44" s="226">
        <v>16.636319715855048</v>
      </c>
      <c r="F44" s="226">
        <v>17.629532833219532</v>
      </c>
      <c r="G44" s="226">
        <v>15.891409877831689</v>
      </c>
      <c r="H44" s="226">
        <v>17.877836112560651</v>
      </c>
      <c r="I44" s="226">
        <v>2.7313360727523217</v>
      </c>
      <c r="J44" s="226">
        <v>15.39480331914945</v>
      </c>
      <c r="K44" s="226">
        <v>17.877836112560651</v>
      </c>
      <c r="L44" s="226">
        <v>17.877836112560651</v>
      </c>
      <c r="M44" s="226">
        <v>16.636319715855048</v>
      </c>
      <c r="N44" s="226">
        <v>16.884622995196171</v>
      </c>
      <c r="O44" s="227">
        <v>185.23424638847564</v>
      </c>
    </row>
    <row r="45" spans="1:15" x14ac:dyDescent="0.25">
      <c r="A45" s="220"/>
      <c r="B45" s="221" t="s">
        <v>89</v>
      </c>
      <c r="C45" s="225">
        <v>0</v>
      </c>
      <c r="D45" s="226">
        <v>0</v>
      </c>
      <c r="E45" s="226">
        <v>0</v>
      </c>
      <c r="F45" s="226">
        <v>0</v>
      </c>
      <c r="G45" s="226">
        <v>0</v>
      </c>
      <c r="H45" s="226">
        <v>0</v>
      </c>
      <c r="I45" s="226">
        <v>0</v>
      </c>
      <c r="J45" s="226">
        <v>0</v>
      </c>
      <c r="K45" s="226">
        <v>0</v>
      </c>
      <c r="L45" s="226">
        <v>0</v>
      </c>
      <c r="M45" s="226">
        <v>0</v>
      </c>
      <c r="N45" s="226">
        <v>0</v>
      </c>
      <c r="O45" s="227">
        <v>0</v>
      </c>
    </row>
    <row r="46" spans="1:15" x14ac:dyDescent="0.25">
      <c r="A46" s="220"/>
      <c r="B46" s="221" t="s">
        <v>91</v>
      </c>
      <c r="C46" s="225">
        <v>0</v>
      </c>
      <c r="D46" s="226">
        <v>0</v>
      </c>
      <c r="E46" s="226">
        <v>0</v>
      </c>
      <c r="F46" s="226">
        <v>0</v>
      </c>
      <c r="G46" s="226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26">
        <v>0</v>
      </c>
      <c r="N46" s="226">
        <v>0</v>
      </c>
      <c r="O46" s="227">
        <v>0</v>
      </c>
    </row>
    <row r="47" spans="1:15" x14ac:dyDescent="0.25">
      <c r="A47" s="210" t="s">
        <v>8</v>
      </c>
      <c r="B47" s="210" t="s">
        <v>72</v>
      </c>
      <c r="C47" s="217">
        <v>44.5763327211871</v>
      </c>
      <c r="D47" s="218">
        <v>51.087482444506563</v>
      </c>
      <c r="E47" s="218">
        <v>32.054890945572744</v>
      </c>
      <c r="F47" s="218">
        <v>35.560894642744763</v>
      </c>
      <c r="G47" s="218">
        <v>54.092628470654006</v>
      </c>
      <c r="H47" s="218">
        <v>65.11149723319464</v>
      </c>
      <c r="I47" s="218">
        <v>75.629508324710699</v>
      </c>
      <c r="J47" s="218">
        <v>72.624362298563241</v>
      </c>
      <c r="K47" s="218">
        <v>63.108066549096343</v>
      </c>
      <c r="L47" s="218">
        <v>53.090913128604861</v>
      </c>
      <c r="M47" s="218">
        <v>33.557463958646466</v>
      </c>
      <c r="N47" s="218">
        <v>41.070329024015081</v>
      </c>
      <c r="O47" s="219">
        <v>621.56436974149653</v>
      </c>
    </row>
    <row r="48" spans="1:15" ht="13" x14ac:dyDescent="0.3">
      <c r="A48" s="220"/>
      <c r="B48" s="221" t="s">
        <v>25</v>
      </c>
      <c r="C48" s="222">
        <v>22.477340859827407</v>
      </c>
      <c r="D48" s="223">
        <v>25.760547951712308</v>
      </c>
      <c r="E48" s="223">
        <v>16.163481067741053</v>
      </c>
      <c r="F48" s="223">
        <v>17.931361809525232</v>
      </c>
      <c r="G48" s="223">
        <v>27.27587430181303</v>
      </c>
      <c r="H48" s="223">
        <v>32.83207091884902</v>
      </c>
      <c r="I48" s="223">
        <v>38.135713144201553</v>
      </c>
      <c r="J48" s="223">
        <v>36.620386794100817</v>
      </c>
      <c r="K48" s="223">
        <v>31.821853352115205</v>
      </c>
      <c r="L48" s="223">
        <v>26.770765518446126</v>
      </c>
      <c r="M48" s="223">
        <v>16.921144242791417</v>
      </c>
      <c r="N48" s="223">
        <v>20.709460118043229</v>
      </c>
      <c r="O48" s="224">
        <v>313.42000007916641</v>
      </c>
    </row>
    <row r="49" spans="1:15" ht="13" x14ac:dyDescent="0.3">
      <c r="A49" s="220"/>
      <c r="B49" s="221" t="s">
        <v>26</v>
      </c>
      <c r="C49" s="222">
        <v>1.6094105478387497</v>
      </c>
      <c r="D49" s="223">
        <v>1.8444929874107021</v>
      </c>
      <c r="E49" s="223">
        <v>1.1573289332773031</v>
      </c>
      <c r="F49" s="223">
        <v>1.2839117853545083</v>
      </c>
      <c r="G49" s="223">
        <v>1.9529925749054493</v>
      </c>
      <c r="H49" s="223">
        <v>2.3508243957195223</v>
      </c>
      <c r="I49" s="223">
        <v>2.7305729519511375</v>
      </c>
      <c r="J49" s="223">
        <v>2.6220733644563898</v>
      </c>
      <c r="K49" s="223">
        <v>2.2784913373896911</v>
      </c>
      <c r="L49" s="223">
        <v>1.9168260457405335</v>
      </c>
      <c r="M49" s="223">
        <v>1.2115787270246769</v>
      </c>
      <c r="N49" s="223">
        <v>1.4828276957615447</v>
      </c>
      <c r="O49" s="224">
        <v>22.441331346830211</v>
      </c>
    </row>
    <row r="50" spans="1:15" ht="13" x14ac:dyDescent="0.3">
      <c r="A50" s="220"/>
      <c r="B50" s="221" t="s">
        <v>27</v>
      </c>
      <c r="C50" s="222">
        <v>24.086751407666156</v>
      </c>
      <c r="D50" s="223">
        <v>27.605040939123011</v>
      </c>
      <c r="E50" s="223">
        <v>17.320810001018355</v>
      </c>
      <c r="F50" s="223">
        <v>19.21527359487974</v>
      </c>
      <c r="G50" s="223">
        <v>29.228866876718477</v>
      </c>
      <c r="H50" s="223">
        <v>35.18289531456854</v>
      </c>
      <c r="I50" s="223">
        <v>40.866286096152692</v>
      </c>
      <c r="J50" s="223">
        <v>39.242460158557208</v>
      </c>
      <c r="K50" s="223">
        <v>34.100344689504894</v>
      </c>
      <c r="L50" s="223">
        <v>28.687591564186661</v>
      </c>
      <c r="M50" s="223">
        <v>18.132722969816093</v>
      </c>
      <c r="N50" s="223">
        <v>22.192287813804775</v>
      </c>
      <c r="O50" s="224">
        <v>335.86133142599664</v>
      </c>
    </row>
    <row r="51" spans="1:15" x14ac:dyDescent="0.25">
      <c r="A51" s="220"/>
      <c r="B51" s="221" t="s">
        <v>51</v>
      </c>
      <c r="C51" s="225">
        <v>22.098991861359693</v>
      </c>
      <c r="D51" s="226">
        <v>25.326934492794255</v>
      </c>
      <c r="E51" s="226">
        <v>15.891409877831689</v>
      </c>
      <c r="F51" s="226">
        <v>17.629532833219532</v>
      </c>
      <c r="G51" s="226">
        <v>26.816754168840976</v>
      </c>
      <c r="H51" s="226">
        <v>32.279426314345621</v>
      </c>
      <c r="I51" s="226">
        <v>37.493795180509146</v>
      </c>
      <c r="J51" s="226">
        <v>36.003975504462424</v>
      </c>
      <c r="K51" s="226">
        <v>31.286213196981137</v>
      </c>
      <c r="L51" s="226">
        <v>26.320147610158735</v>
      </c>
      <c r="M51" s="226">
        <v>16.636319715855048</v>
      </c>
      <c r="N51" s="226">
        <v>20.360868905971852</v>
      </c>
      <c r="O51" s="227">
        <v>308.14436966233018</v>
      </c>
    </row>
    <row r="52" spans="1:15" x14ac:dyDescent="0.25">
      <c r="A52" s="220"/>
      <c r="B52" s="221" t="s">
        <v>89</v>
      </c>
      <c r="C52" s="225">
        <v>0</v>
      </c>
      <c r="D52" s="226">
        <v>0</v>
      </c>
      <c r="E52" s="226">
        <v>0</v>
      </c>
      <c r="F52" s="226">
        <v>0</v>
      </c>
      <c r="G52" s="226">
        <v>0</v>
      </c>
      <c r="H52" s="226">
        <v>0</v>
      </c>
      <c r="I52" s="226">
        <v>0</v>
      </c>
      <c r="J52" s="226">
        <v>0</v>
      </c>
      <c r="K52" s="226">
        <v>0</v>
      </c>
      <c r="L52" s="226">
        <v>0</v>
      </c>
      <c r="M52" s="226">
        <v>0</v>
      </c>
      <c r="N52" s="226">
        <v>0</v>
      </c>
      <c r="O52" s="227">
        <v>0</v>
      </c>
    </row>
    <row r="53" spans="1:15" x14ac:dyDescent="0.25">
      <c r="A53" s="220"/>
      <c r="B53" s="221" t="s">
        <v>91</v>
      </c>
      <c r="C53" s="225">
        <v>0</v>
      </c>
      <c r="D53" s="226">
        <v>0</v>
      </c>
      <c r="E53" s="226">
        <v>0</v>
      </c>
      <c r="F53" s="226">
        <v>0</v>
      </c>
      <c r="G53" s="226">
        <v>0</v>
      </c>
      <c r="H53" s="226">
        <v>0</v>
      </c>
      <c r="I53" s="226">
        <v>0</v>
      </c>
      <c r="J53" s="226">
        <v>0</v>
      </c>
      <c r="K53" s="226">
        <v>0</v>
      </c>
      <c r="L53" s="226">
        <v>0</v>
      </c>
      <c r="M53" s="226">
        <v>0</v>
      </c>
      <c r="N53" s="226">
        <v>0</v>
      </c>
      <c r="O53" s="227">
        <v>0</v>
      </c>
    </row>
    <row r="54" spans="1:15" x14ac:dyDescent="0.25">
      <c r="A54" s="210" t="s">
        <v>21</v>
      </c>
      <c r="B54" s="210" t="s">
        <v>72</v>
      </c>
      <c r="C54" s="217">
        <v>1473.0224104832726</v>
      </c>
      <c r="D54" s="218">
        <v>1613.2625583701533</v>
      </c>
      <c r="E54" s="218">
        <v>1211.5747062084447</v>
      </c>
      <c r="F54" s="218">
        <v>1360.8302921737679</v>
      </c>
      <c r="G54" s="218">
        <v>1691.8972127210113</v>
      </c>
      <c r="H54" s="218">
        <v>1915.2797339979716</v>
      </c>
      <c r="I54" s="218">
        <v>2058.5250279109996</v>
      </c>
      <c r="J54" s="218">
        <v>2051.5130205166556</v>
      </c>
      <c r="K54" s="218">
        <v>1831.6365029368676</v>
      </c>
      <c r="L54" s="218">
        <v>1633.2968652111363</v>
      </c>
      <c r="M54" s="218">
        <v>1226.6004363391821</v>
      </c>
      <c r="N54" s="218">
        <v>1410.9160592762253</v>
      </c>
      <c r="O54" s="219">
        <v>19478.354826145685</v>
      </c>
    </row>
    <row r="55" spans="1:15" ht="13" x14ac:dyDescent="0.3">
      <c r="A55" s="220"/>
      <c r="B55" s="221" t="s">
        <v>25</v>
      </c>
      <c r="C55" s="222">
        <v>742.76246594103816</v>
      </c>
      <c r="D55" s="223">
        <v>813.47769561240534</v>
      </c>
      <c r="E55" s="223">
        <v>610.92907348227504</v>
      </c>
      <c r="F55" s="223">
        <v>686.19028220394443</v>
      </c>
      <c r="G55" s="223">
        <v>853.1287351067075</v>
      </c>
      <c r="H55" s="223">
        <v>965.76799379752811</v>
      </c>
      <c r="I55" s="223">
        <v>1037.9985498189958</v>
      </c>
      <c r="J55" s="223">
        <v>1034.4627883354274</v>
      </c>
      <c r="K55" s="223">
        <v>923.5914103863912</v>
      </c>
      <c r="L55" s="223">
        <v>823.57987127974343</v>
      </c>
      <c r="M55" s="223">
        <v>618.50570523277884</v>
      </c>
      <c r="N55" s="223">
        <v>711.44572137228977</v>
      </c>
      <c r="O55" s="224">
        <v>9821.8402925695264</v>
      </c>
    </row>
    <row r="56" spans="1:15" ht="13" x14ac:dyDescent="0.3">
      <c r="A56" s="220"/>
      <c r="B56" s="221" t="s">
        <v>26</v>
      </c>
      <c r="C56" s="222">
        <v>53.182881137008579</v>
      </c>
      <c r="D56" s="223">
        <v>58.24619522009678</v>
      </c>
      <c r="E56" s="223">
        <v>43.743417024965574</v>
      </c>
      <c r="F56" s="223">
        <v>49.132229870538012</v>
      </c>
      <c r="G56" s="223">
        <v>61.08526775954266</v>
      </c>
      <c r="H56" s="223">
        <v>69.150403763318863</v>
      </c>
      <c r="I56" s="223">
        <v>74.322217433901812</v>
      </c>
      <c r="J56" s="223">
        <v>74.0690517297474</v>
      </c>
      <c r="K56" s="223">
        <v>66.130498578048403</v>
      </c>
      <c r="L56" s="223">
        <v>58.969525803395094</v>
      </c>
      <c r="M56" s="223">
        <v>44.285914962439307</v>
      </c>
      <c r="N56" s="223">
        <v>50.940556328783799</v>
      </c>
      <c r="O56" s="224">
        <v>703.25815961178625</v>
      </c>
    </row>
    <row r="57" spans="1:15" ht="13" x14ac:dyDescent="0.3">
      <c r="A57" s="220"/>
      <c r="B57" s="221" t="s">
        <v>27</v>
      </c>
      <c r="C57" s="222">
        <v>795.94534707804678</v>
      </c>
      <c r="D57" s="223">
        <v>871.72389083250209</v>
      </c>
      <c r="E57" s="223">
        <v>654.67249050724058</v>
      </c>
      <c r="F57" s="223">
        <v>735.32251207448246</v>
      </c>
      <c r="G57" s="223">
        <v>914.21400286625021</v>
      </c>
      <c r="H57" s="223">
        <v>1034.9183975608469</v>
      </c>
      <c r="I57" s="223">
        <v>1112.3207672528977</v>
      </c>
      <c r="J57" s="223">
        <v>1108.5318400651747</v>
      </c>
      <c r="K57" s="223">
        <v>989.72190896443965</v>
      </c>
      <c r="L57" s="223">
        <v>882.5493970831385</v>
      </c>
      <c r="M57" s="223">
        <v>662.79162019521812</v>
      </c>
      <c r="N57" s="223">
        <v>762.3862777010736</v>
      </c>
      <c r="O57" s="224">
        <v>10525.098452181312</v>
      </c>
    </row>
    <row r="58" spans="1:15" x14ac:dyDescent="0.25">
      <c r="A58" s="220"/>
      <c r="B58" s="221" t="s">
        <v>51</v>
      </c>
      <c r="C58" s="225">
        <v>730.25994454223439</v>
      </c>
      <c r="D58" s="226">
        <v>799.78486275774799</v>
      </c>
      <c r="E58" s="226">
        <v>600.64563272616965</v>
      </c>
      <c r="F58" s="226">
        <v>674.6400099698235</v>
      </c>
      <c r="G58" s="226">
        <v>838.76847761430383</v>
      </c>
      <c r="H58" s="226">
        <v>949.51174020044346</v>
      </c>
      <c r="I58" s="226">
        <v>1020.5264780920038</v>
      </c>
      <c r="J58" s="226">
        <v>1017.0502321812281</v>
      </c>
      <c r="K58" s="226">
        <v>908.0450925504764</v>
      </c>
      <c r="L58" s="226">
        <v>809.71699393139284</v>
      </c>
      <c r="M58" s="226">
        <v>608.09473110640329</v>
      </c>
      <c r="N58" s="226">
        <v>699.4703379039355</v>
      </c>
      <c r="O58" s="227">
        <v>9656.5145335761626</v>
      </c>
    </row>
    <row r="59" spans="1:15" x14ac:dyDescent="0.25">
      <c r="A59" s="220"/>
      <c r="B59" s="221" t="s">
        <v>89</v>
      </c>
      <c r="C59" s="225">
        <v>0</v>
      </c>
      <c r="D59" s="226">
        <v>0</v>
      </c>
      <c r="E59" s="226">
        <v>0</v>
      </c>
      <c r="F59" s="226">
        <v>0</v>
      </c>
      <c r="G59" s="226">
        <v>0</v>
      </c>
      <c r="H59" s="226">
        <v>0</v>
      </c>
      <c r="I59" s="226">
        <v>0</v>
      </c>
      <c r="J59" s="226">
        <v>0</v>
      </c>
      <c r="K59" s="226">
        <v>0</v>
      </c>
      <c r="L59" s="226">
        <v>0</v>
      </c>
      <c r="M59" s="226">
        <v>0</v>
      </c>
      <c r="N59" s="226">
        <v>0</v>
      </c>
      <c r="O59" s="227">
        <v>0</v>
      </c>
    </row>
    <row r="60" spans="1:15" x14ac:dyDescent="0.25">
      <c r="A60" s="220"/>
      <c r="B60" s="221" t="s">
        <v>91</v>
      </c>
      <c r="C60" s="225">
        <v>0</v>
      </c>
      <c r="D60" s="226">
        <v>0</v>
      </c>
      <c r="E60" s="226">
        <v>0</v>
      </c>
      <c r="F60" s="226">
        <v>0</v>
      </c>
      <c r="G60" s="226">
        <v>0</v>
      </c>
      <c r="H60" s="226">
        <v>0</v>
      </c>
      <c r="I60" s="226">
        <v>0</v>
      </c>
      <c r="J60" s="226">
        <v>0</v>
      </c>
      <c r="K60" s="226">
        <v>0</v>
      </c>
      <c r="L60" s="226">
        <v>0</v>
      </c>
      <c r="M60" s="226">
        <v>0</v>
      </c>
      <c r="N60" s="226">
        <v>0</v>
      </c>
      <c r="O60" s="227">
        <v>0</v>
      </c>
    </row>
    <row r="61" spans="1:15" x14ac:dyDescent="0.25">
      <c r="A61" s="210" t="s">
        <v>22</v>
      </c>
      <c r="B61" s="210" t="s">
        <v>72</v>
      </c>
      <c r="C61" s="217">
        <v>1709.928088877896</v>
      </c>
      <c r="D61" s="218">
        <v>1667.8560445118319</v>
      </c>
      <c r="E61" s="218">
        <v>1243.6295971540176</v>
      </c>
      <c r="F61" s="218">
        <v>1276.6862034416395</v>
      </c>
      <c r="G61" s="218">
        <v>1506.0790167708944</v>
      </c>
      <c r="H61" s="218">
        <v>1691.3963550499868</v>
      </c>
      <c r="I61" s="218">
        <v>1864.6931092244895</v>
      </c>
      <c r="J61" s="218">
        <v>1860.6862478562928</v>
      </c>
      <c r="K61" s="218">
        <v>1630.7925768560133</v>
      </c>
      <c r="L61" s="218">
        <v>1509.5850204680664</v>
      </c>
      <c r="M61" s="218">
        <v>1171.0052348554543</v>
      </c>
      <c r="N61" s="218">
        <v>1487.0464252719605</v>
      </c>
      <c r="O61" s="219">
        <v>18619.38392033854</v>
      </c>
    </row>
    <row r="62" spans="1:15" ht="13" x14ac:dyDescent="0.3">
      <c r="A62" s="220"/>
      <c r="B62" s="221" t="s">
        <v>25</v>
      </c>
      <c r="C62" s="222">
        <v>862.2206932073118</v>
      </c>
      <c r="D62" s="223">
        <v>841.00612430590184</v>
      </c>
      <c r="E62" s="223">
        <v>627.0925545500163</v>
      </c>
      <c r="F62" s="223">
        <v>643.76114440112417</v>
      </c>
      <c r="G62" s="223">
        <v>759.43105579214614</v>
      </c>
      <c r="H62" s="223">
        <v>852.87618071502413</v>
      </c>
      <c r="I62" s="223">
        <v>940.26000023749918</v>
      </c>
      <c r="J62" s="223">
        <v>938.23956510403139</v>
      </c>
      <c r="K62" s="223">
        <v>822.31709932132605</v>
      </c>
      <c r="L62" s="223">
        <v>761.19893653393035</v>
      </c>
      <c r="M62" s="223">
        <v>590.47216775591539</v>
      </c>
      <c r="N62" s="223">
        <v>749.83398890817477</v>
      </c>
      <c r="O62" s="224">
        <v>9388.7095108324011</v>
      </c>
    </row>
    <row r="63" spans="1:15" ht="13" x14ac:dyDescent="0.3">
      <c r="A63" s="220"/>
      <c r="B63" s="221" t="s">
        <v>26</v>
      </c>
      <c r="C63" s="222">
        <v>61.736265284511148</v>
      </c>
      <c r="D63" s="223">
        <v>60.217271059584682</v>
      </c>
      <c r="E63" s="223">
        <v>44.900745958242872</v>
      </c>
      <c r="F63" s="223">
        <v>46.094241420685094</v>
      </c>
      <c r="G63" s="223">
        <v>54.376376599450793</v>
      </c>
      <c r="H63" s="223">
        <v>61.067184494960202</v>
      </c>
      <c r="I63" s="223">
        <v>67.323994040490632</v>
      </c>
      <c r="J63" s="223">
        <v>67.179327923830968</v>
      </c>
      <c r="K63" s="223">
        <v>58.879109480482803</v>
      </c>
      <c r="L63" s="223">
        <v>54.502959451528</v>
      </c>
      <c r="M63" s="223">
        <v>42.278672593786489</v>
      </c>
      <c r="N63" s="223">
        <v>53.689212545317396</v>
      </c>
      <c r="O63" s="224">
        <v>672.24536085287116</v>
      </c>
    </row>
    <row r="64" spans="1:15" ht="13" x14ac:dyDescent="0.3">
      <c r="A64" s="220"/>
      <c r="B64" s="221" t="s">
        <v>27</v>
      </c>
      <c r="C64" s="222">
        <v>923.95695849182289</v>
      </c>
      <c r="D64" s="223">
        <v>901.22339536548657</v>
      </c>
      <c r="E64" s="223">
        <v>671.99330050825915</v>
      </c>
      <c r="F64" s="223">
        <v>689.85538582180925</v>
      </c>
      <c r="G64" s="223">
        <v>813.80743239159688</v>
      </c>
      <c r="H64" s="223">
        <v>913.94336520998434</v>
      </c>
      <c r="I64" s="223">
        <v>1007.5839942779899</v>
      </c>
      <c r="J64" s="223">
        <v>1005.4188930278624</v>
      </c>
      <c r="K64" s="223">
        <v>881.19620880180889</v>
      </c>
      <c r="L64" s="223">
        <v>815.70189598545835</v>
      </c>
      <c r="M64" s="223">
        <v>632.75084034970189</v>
      </c>
      <c r="N64" s="223">
        <v>803.52320145349222</v>
      </c>
      <c r="O64" s="224">
        <v>10060.954871685271</v>
      </c>
    </row>
    <row r="65" spans="1:15" x14ac:dyDescent="0.25">
      <c r="A65" s="220"/>
      <c r="B65" s="221" t="s">
        <v>51</v>
      </c>
      <c r="C65" s="225">
        <v>847.70739567058422</v>
      </c>
      <c r="D65" s="226">
        <v>826.84992020593006</v>
      </c>
      <c r="E65" s="226">
        <v>616.53704260400127</v>
      </c>
      <c r="F65" s="226">
        <v>632.92505904051529</v>
      </c>
      <c r="G65" s="226">
        <v>746.6479609787483</v>
      </c>
      <c r="H65" s="226">
        <v>838.52017433496269</v>
      </c>
      <c r="I65" s="226">
        <v>924.43310898699031</v>
      </c>
      <c r="J65" s="226">
        <v>922.44668275226138</v>
      </c>
      <c r="K65" s="226">
        <v>808.47547753468723</v>
      </c>
      <c r="L65" s="226">
        <v>748.38608393413608</v>
      </c>
      <c r="M65" s="226">
        <v>580.53306709953893</v>
      </c>
      <c r="N65" s="226">
        <v>737.21243636378574</v>
      </c>
      <c r="O65" s="227">
        <v>9230.6744095061404</v>
      </c>
    </row>
    <row r="66" spans="1:15" x14ac:dyDescent="0.25">
      <c r="A66" s="220"/>
      <c r="B66" s="221" t="s">
        <v>89</v>
      </c>
      <c r="C66" s="225">
        <v>0</v>
      </c>
      <c r="D66" s="226">
        <v>0</v>
      </c>
      <c r="E66" s="226">
        <v>0</v>
      </c>
      <c r="F66" s="226">
        <v>0</v>
      </c>
      <c r="G66" s="226">
        <v>0</v>
      </c>
      <c r="H66" s="226">
        <v>0</v>
      </c>
      <c r="I66" s="226">
        <v>0</v>
      </c>
      <c r="J66" s="226">
        <v>0</v>
      </c>
      <c r="K66" s="226">
        <v>0</v>
      </c>
      <c r="L66" s="226">
        <v>0</v>
      </c>
      <c r="M66" s="226">
        <v>0</v>
      </c>
      <c r="N66" s="226">
        <v>0</v>
      </c>
      <c r="O66" s="227">
        <v>0</v>
      </c>
    </row>
    <row r="67" spans="1:15" x14ac:dyDescent="0.25">
      <c r="A67" s="220"/>
      <c r="B67" s="221" t="s">
        <v>91</v>
      </c>
      <c r="C67" s="225">
        <v>0</v>
      </c>
      <c r="D67" s="226">
        <v>0</v>
      </c>
      <c r="E67" s="226">
        <v>0</v>
      </c>
      <c r="F67" s="226">
        <v>0</v>
      </c>
      <c r="G67" s="226">
        <v>0</v>
      </c>
      <c r="H67" s="226">
        <v>0</v>
      </c>
      <c r="I67" s="226">
        <v>0</v>
      </c>
      <c r="J67" s="226">
        <v>0</v>
      </c>
      <c r="K67" s="226">
        <v>0</v>
      </c>
      <c r="L67" s="226">
        <v>0</v>
      </c>
      <c r="M67" s="226">
        <v>0</v>
      </c>
      <c r="N67" s="226">
        <v>0</v>
      </c>
      <c r="O67" s="227">
        <v>0</v>
      </c>
    </row>
    <row r="68" spans="1:15" x14ac:dyDescent="0.25">
      <c r="A68" s="210" t="s">
        <v>9</v>
      </c>
      <c r="B68" s="210" t="s">
        <v>72</v>
      </c>
      <c r="C68" s="217">
        <v>33.557463958646466</v>
      </c>
      <c r="D68" s="218">
        <v>35.560894642744763</v>
      </c>
      <c r="E68" s="218">
        <v>24.542025880204132</v>
      </c>
      <c r="F68" s="218">
        <v>18.531733827909243</v>
      </c>
      <c r="G68" s="218">
        <v>25.042883551228705</v>
      </c>
      <c r="H68" s="218">
        <v>27.046314235327003</v>
      </c>
      <c r="I68" s="218">
        <v>31.053175603523595</v>
      </c>
      <c r="J68" s="218">
        <v>27.547171906351576</v>
      </c>
      <c r="K68" s="218">
        <v>25.042883551228705</v>
      </c>
      <c r="L68" s="218">
        <v>23.540310538154984</v>
      </c>
      <c r="M68" s="218">
        <v>24.04116820917956</v>
      </c>
      <c r="N68" s="218">
        <v>29.049744919425301</v>
      </c>
      <c r="O68" s="219">
        <v>324.55577082392398</v>
      </c>
    </row>
    <row r="69" spans="1:15" ht="13" x14ac:dyDescent="0.3">
      <c r="A69" s="220"/>
      <c r="B69" s="221" t="s">
        <v>25</v>
      </c>
      <c r="C69" s="222">
        <v>16.921144242791417</v>
      </c>
      <c r="D69" s="223">
        <v>17.931361809525232</v>
      </c>
      <c r="E69" s="223">
        <v>12.375165192489245</v>
      </c>
      <c r="F69" s="223">
        <v>9.3445124922877962</v>
      </c>
      <c r="G69" s="223">
        <v>12.627719584172699</v>
      </c>
      <c r="H69" s="223">
        <v>13.637937150906515</v>
      </c>
      <c r="I69" s="223">
        <v>15.658372284374146</v>
      </c>
      <c r="J69" s="223">
        <v>13.890491542589967</v>
      </c>
      <c r="K69" s="223">
        <v>12.627719584172699</v>
      </c>
      <c r="L69" s="223">
        <v>11.870056409122336</v>
      </c>
      <c r="M69" s="223">
        <v>12.122610800805793</v>
      </c>
      <c r="N69" s="223">
        <v>14.648154717640333</v>
      </c>
      <c r="O69" s="224">
        <v>163.65524581087817</v>
      </c>
    </row>
    <row r="70" spans="1:15" ht="13" x14ac:dyDescent="0.3">
      <c r="A70" s="220"/>
      <c r="B70" s="221" t="s">
        <v>26</v>
      </c>
      <c r="C70" s="222">
        <v>1.2115787270246769</v>
      </c>
      <c r="D70" s="223">
        <v>1.2839117853545083</v>
      </c>
      <c r="E70" s="223">
        <v>0.88607996454043525</v>
      </c>
      <c r="F70" s="223">
        <v>0.66908078955094097</v>
      </c>
      <c r="G70" s="223">
        <v>0.90416322912289315</v>
      </c>
      <c r="H70" s="223">
        <v>0.97649628745272465</v>
      </c>
      <c r="I70" s="223">
        <v>1.1211624041123875</v>
      </c>
      <c r="J70" s="223">
        <v>0.99457955203518256</v>
      </c>
      <c r="K70" s="223">
        <v>0.90416322912289315</v>
      </c>
      <c r="L70" s="223">
        <v>0.84991343537551955</v>
      </c>
      <c r="M70" s="223">
        <v>0.86799669995797746</v>
      </c>
      <c r="N70" s="223">
        <v>1.0488293457825562</v>
      </c>
      <c r="O70" s="224">
        <v>11.717955449432695</v>
      </c>
    </row>
    <row r="71" spans="1:15" ht="13" x14ac:dyDescent="0.3">
      <c r="A71" s="220"/>
      <c r="B71" s="221" t="s">
        <v>27</v>
      </c>
      <c r="C71" s="222">
        <v>18.132722969816093</v>
      </c>
      <c r="D71" s="223">
        <v>19.21527359487974</v>
      </c>
      <c r="E71" s="223">
        <v>13.261245157029681</v>
      </c>
      <c r="F71" s="223">
        <v>10.013593281838737</v>
      </c>
      <c r="G71" s="223">
        <v>13.531882813295592</v>
      </c>
      <c r="H71" s="223">
        <v>14.614433438359239</v>
      </c>
      <c r="I71" s="223">
        <v>16.779534688486532</v>
      </c>
      <c r="J71" s="223">
        <v>14.885071094625149</v>
      </c>
      <c r="K71" s="223">
        <v>13.531882813295592</v>
      </c>
      <c r="L71" s="223">
        <v>12.719969844497856</v>
      </c>
      <c r="M71" s="223">
        <v>12.990607500763771</v>
      </c>
      <c r="N71" s="223">
        <v>15.696984063422889</v>
      </c>
      <c r="O71" s="224">
        <v>175.37320126031085</v>
      </c>
    </row>
    <row r="72" spans="1:15" x14ac:dyDescent="0.25">
      <c r="A72" s="220"/>
      <c r="B72" s="221" t="s">
        <v>51</v>
      </c>
      <c r="C72" s="225">
        <v>16.636319715855048</v>
      </c>
      <c r="D72" s="226">
        <v>17.629532833219532</v>
      </c>
      <c r="E72" s="226">
        <v>12.166860687714887</v>
      </c>
      <c r="F72" s="226">
        <v>9.1872213356214463</v>
      </c>
      <c r="G72" s="226">
        <v>12.415163967056007</v>
      </c>
      <c r="H72" s="226">
        <v>13.408377084420488</v>
      </c>
      <c r="I72" s="226">
        <v>15.39480331914945</v>
      </c>
      <c r="J72" s="226">
        <v>13.656680363761609</v>
      </c>
      <c r="K72" s="226">
        <v>12.415163967056007</v>
      </c>
      <c r="L72" s="226">
        <v>11.670254129032648</v>
      </c>
      <c r="M72" s="226">
        <v>11.918557408373767</v>
      </c>
      <c r="N72" s="226">
        <v>14.401590201784968</v>
      </c>
      <c r="O72" s="227">
        <v>160.90052501304584</v>
      </c>
    </row>
    <row r="73" spans="1:15" x14ac:dyDescent="0.25">
      <c r="A73" s="220"/>
      <c r="B73" s="221" t="s">
        <v>89</v>
      </c>
      <c r="C73" s="225">
        <v>0</v>
      </c>
      <c r="D73" s="226">
        <v>0</v>
      </c>
      <c r="E73" s="226">
        <v>0</v>
      </c>
      <c r="F73" s="226">
        <v>0</v>
      </c>
      <c r="G73" s="226">
        <v>0</v>
      </c>
      <c r="H73" s="226">
        <v>0</v>
      </c>
      <c r="I73" s="226">
        <v>0</v>
      </c>
      <c r="J73" s="226">
        <v>0</v>
      </c>
      <c r="K73" s="226">
        <v>0</v>
      </c>
      <c r="L73" s="226">
        <v>0</v>
      </c>
      <c r="M73" s="226">
        <v>0</v>
      </c>
      <c r="N73" s="226">
        <v>0</v>
      </c>
      <c r="O73" s="227">
        <v>0</v>
      </c>
    </row>
    <row r="74" spans="1:15" x14ac:dyDescent="0.25">
      <c r="A74" s="220"/>
      <c r="B74" s="221" t="s">
        <v>91</v>
      </c>
      <c r="C74" s="225">
        <v>0</v>
      </c>
      <c r="D74" s="226">
        <v>0</v>
      </c>
      <c r="E74" s="226">
        <v>0</v>
      </c>
      <c r="F74" s="226">
        <v>0</v>
      </c>
      <c r="G74" s="226">
        <v>0</v>
      </c>
      <c r="H74" s="226">
        <v>0</v>
      </c>
      <c r="I74" s="226">
        <v>0</v>
      </c>
      <c r="J74" s="226">
        <v>0</v>
      </c>
      <c r="K74" s="226">
        <v>0</v>
      </c>
      <c r="L74" s="226">
        <v>0</v>
      </c>
      <c r="M74" s="226">
        <v>0</v>
      </c>
      <c r="N74" s="226">
        <v>0</v>
      </c>
      <c r="O74" s="227">
        <v>0</v>
      </c>
    </row>
    <row r="75" spans="1:15" x14ac:dyDescent="0.25">
      <c r="A75" s="210" t="s">
        <v>56</v>
      </c>
      <c r="B75" s="210" t="s">
        <v>72</v>
      </c>
      <c r="C75" s="217">
        <v>68.61750093036666</v>
      </c>
      <c r="D75" s="218">
        <v>78.133796679833566</v>
      </c>
      <c r="E75" s="218">
        <v>56.596916825776873</v>
      </c>
      <c r="F75" s="218">
        <v>56.096059154752304</v>
      </c>
      <c r="G75" s="218">
        <v>71.121789285489527</v>
      </c>
      <c r="H75" s="218">
        <v>82.641515719054738</v>
      </c>
      <c r="I75" s="218">
        <v>92.65866913954622</v>
      </c>
      <c r="J75" s="218">
        <v>95.663815165693663</v>
      </c>
      <c r="K75" s="218">
        <v>70.120073943440374</v>
      </c>
      <c r="L75" s="218">
        <v>68.61750093036666</v>
      </c>
      <c r="M75" s="218">
        <v>60.102920522948892</v>
      </c>
      <c r="N75" s="218">
        <v>64.109781891145488</v>
      </c>
      <c r="O75" s="219">
        <v>864.48034018841497</v>
      </c>
    </row>
    <row r="76" spans="1:15" x14ac:dyDescent="0.25">
      <c r="A76" s="220"/>
      <c r="B76" s="221" t="s">
        <v>25</v>
      </c>
      <c r="C76" s="225">
        <v>34.599951660633202</v>
      </c>
      <c r="D76" s="226">
        <v>39.398485102618821</v>
      </c>
      <c r="E76" s="226">
        <v>28.538646260230298</v>
      </c>
      <c r="F76" s="226">
        <v>28.286091868546848</v>
      </c>
      <c r="G76" s="226">
        <v>35.862723619050463</v>
      </c>
      <c r="H76" s="226">
        <v>41.671474627769911</v>
      </c>
      <c r="I76" s="226">
        <v>46.72256246143899</v>
      </c>
      <c r="J76" s="226">
        <v>48.237888811539712</v>
      </c>
      <c r="K76" s="226">
        <v>35.357614835683556</v>
      </c>
      <c r="L76" s="226">
        <v>34.599951660633202</v>
      </c>
      <c r="M76" s="226">
        <v>30.306527002014473</v>
      </c>
      <c r="N76" s="226">
        <v>32.326962135482106</v>
      </c>
      <c r="O76" s="227">
        <v>435.90888004564164</v>
      </c>
    </row>
    <row r="77" spans="1:15" x14ac:dyDescent="0.25">
      <c r="A77" s="220"/>
      <c r="B77" s="221" t="s">
        <v>26</v>
      </c>
      <c r="C77" s="225">
        <v>2.4774072477967271</v>
      </c>
      <c r="D77" s="226">
        <v>2.8209892748634267</v>
      </c>
      <c r="E77" s="226">
        <v>2.0434088978177383</v>
      </c>
      <c r="F77" s="226">
        <v>2.0253256332352807</v>
      </c>
      <c r="G77" s="226">
        <v>2.5678235707090167</v>
      </c>
      <c r="H77" s="226">
        <v>2.9837386561055474</v>
      </c>
      <c r="I77" s="226">
        <v>3.3454039477547046</v>
      </c>
      <c r="J77" s="226">
        <v>3.4539035352494518</v>
      </c>
      <c r="K77" s="226">
        <v>2.5316570415441011</v>
      </c>
      <c r="L77" s="226">
        <v>2.4774072477967271</v>
      </c>
      <c r="M77" s="226">
        <v>2.1699917498949435</v>
      </c>
      <c r="N77" s="226">
        <v>2.3146578665546063</v>
      </c>
      <c r="O77" s="227">
        <v>31.211714669322269</v>
      </c>
    </row>
    <row r="78" spans="1:15" x14ac:dyDescent="0.25">
      <c r="A78" s="220"/>
      <c r="B78" s="221" t="s">
        <v>27</v>
      </c>
      <c r="C78" s="225">
        <v>37.077358908429929</v>
      </c>
      <c r="D78" s="226">
        <v>42.21947437748225</v>
      </c>
      <c r="E78" s="226">
        <v>30.582055158048036</v>
      </c>
      <c r="F78" s="226">
        <v>30.311417501782127</v>
      </c>
      <c r="G78" s="226">
        <v>38.43054718975948</v>
      </c>
      <c r="H78" s="226">
        <v>44.655213283875455</v>
      </c>
      <c r="I78" s="226">
        <v>50.067966409193694</v>
      </c>
      <c r="J78" s="226">
        <v>51.691792346789164</v>
      </c>
      <c r="K78" s="226">
        <v>37.889271877227657</v>
      </c>
      <c r="L78" s="226">
        <v>37.077358908429929</v>
      </c>
      <c r="M78" s="226">
        <v>32.476518751909417</v>
      </c>
      <c r="N78" s="226">
        <v>34.64162000203671</v>
      </c>
      <c r="O78" s="227">
        <v>467.12059471496377</v>
      </c>
    </row>
    <row r="79" spans="1:15" x14ac:dyDescent="0.25">
      <c r="A79" s="220"/>
      <c r="B79" s="221" t="s">
        <v>51</v>
      </c>
      <c r="C79" s="225">
        <v>34.017549269733458</v>
      </c>
      <c r="D79" s="226">
        <v>38.735311577214745</v>
      </c>
      <c r="E79" s="226">
        <v>28.058270565546575</v>
      </c>
      <c r="F79" s="226">
        <v>27.809967286205456</v>
      </c>
      <c r="G79" s="226">
        <v>35.259065666439064</v>
      </c>
      <c r="H79" s="226">
        <v>40.970041091284827</v>
      </c>
      <c r="I79" s="226">
        <v>45.93610667810723</v>
      </c>
      <c r="J79" s="226">
        <v>47.425926354153951</v>
      </c>
      <c r="K79" s="226">
        <v>34.762459107756818</v>
      </c>
      <c r="L79" s="226">
        <v>34.017549269733458</v>
      </c>
      <c r="M79" s="226">
        <v>29.796393520934419</v>
      </c>
      <c r="N79" s="226">
        <v>31.782819755663379</v>
      </c>
      <c r="O79" s="227">
        <v>428.57146014277339</v>
      </c>
    </row>
    <row r="80" spans="1:15" x14ac:dyDescent="0.25">
      <c r="A80" s="220"/>
      <c r="B80" s="221" t="s">
        <v>89</v>
      </c>
      <c r="C80" s="225">
        <v>0</v>
      </c>
      <c r="D80" s="226">
        <v>0</v>
      </c>
      <c r="E80" s="226">
        <v>0</v>
      </c>
      <c r="F80" s="226">
        <v>0</v>
      </c>
      <c r="G80" s="226">
        <v>0</v>
      </c>
      <c r="H80" s="226">
        <v>0</v>
      </c>
      <c r="I80" s="226">
        <v>0</v>
      </c>
      <c r="J80" s="226">
        <v>0</v>
      </c>
      <c r="K80" s="226">
        <v>0</v>
      </c>
      <c r="L80" s="226">
        <v>0</v>
      </c>
      <c r="M80" s="226">
        <v>0</v>
      </c>
      <c r="N80" s="226">
        <v>0</v>
      </c>
      <c r="O80" s="227">
        <v>0</v>
      </c>
    </row>
    <row r="81" spans="1:15" x14ac:dyDescent="0.25">
      <c r="A81" s="220"/>
      <c r="B81" s="221" t="s">
        <v>91</v>
      </c>
      <c r="C81" s="225">
        <v>0</v>
      </c>
      <c r="D81" s="226">
        <v>0</v>
      </c>
      <c r="E81" s="226">
        <v>0</v>
      </c>
      <c r="F81" s="226">
        <v>0</v>
      </c>
      <c r="G81" s="226">
        <v>0</v>
      </c>
      <c r="H81" s="226">
        <v>0</v>
      </c>
      <c r="I81" s="226">
        <v>0</v>
      </c>
      <c r="J81" s="226">
        <v>0</v>
      </c>
      <c r="K81" s="226">
        <v>0</v>
      </c>
      <c r="L81" s="226">
        <v>0</v>
      </c>
      <c r="M81" s="226">
        <v>0</v>
      </c>
      <c r="N81" s="226">
        <v>0</v>
      </c>
      <c r="O81" s="227">
        <v>0</v>
      </c>
    </row>
    <row r="82" spans="1:15" x14ac:dyDescent="0.25">
      <c r="A82" s="210" t="s">
        <v>57</v>
      </c>
      <c r="B82" s="210" t="s">
        <v>72</v>
      </c>
      <c r="C82" s="217">
        <v>5.5094343812703155</v>
      </c>
      <c r="D82" s="218">
        <v>4.5077190392211675</v>
      </c>
      <c r="E82" s="218">
        <v>4.006861368196593</v>
      </c>
      <c r="F82" s="218">
        <v>5.008576710245741</v>
      </c>
      <c r="G82" s="218">
        <v>5.5094343812703155</v>
      </c>
      <c r="H82" s="218">
        <v>5.5094343812703155</v>
      </c>
      <c r="I82" s="218">
        <v>7.012007394344038</v>
      </c>
      <c r="J82" s="218">
        <v>5.5094343812703155</v>
      </c>
      <c r="K82" s="218">
        <v>6.0102920522948899</v>
      </c>
      <c r="L82" s="218">
        <v>6.5111497233194635</v>
      </c>
      <c r="M82" s="218">
        <v>5.008576710245741</v>
      </c>
      <c r="N82" s="218">
        <v>3.506003697172019</v>
      </c>
      <c r="O82" s="219">
        <v>63.608924220120919</v>
      </c>
    </row>
    <row r="83" spans="1:15" x14ac:dyDescent="0.25">
      <c r="A83" s="220"/>
      <c r="B83" s="221" t="s">
        <v>25</v>
      </c>
      <c r="C83" s="225">
        <v>2.7780983085179938</v>
      </c>
      <c r="D83" s="226">
        <v>2.2729895251510861</v>
      </c>
      <c r="E83" s="226">
        <v>2.0204351334676316</v>
      </c>
      <c r="F83" s="226">
        <v>2.5255439168345397</v>
      </c>
      <c r="G83" s="226">
        <v>2.7780983085179938</v>
      </c>
      <c r="H83" s="226">
        <v>2.7780983085179938</v>
      </c>
      <c r="I83" s="226">
        <v>3.535761483568356</v>
      </c>
      <c r="J83" s="226">
        <v>2.7780983085179938</v>
      </c>
      <c r="K83" s="226">
        <v>3.0306527002014483</v>
      </c>
      <c r="L83" s="226">
        <v>3.2832070918849015</v>
      </c>
      <c r="M83" s="226">
        <v>2.5255439168345397</v>
      </c>
      <c r="N83" s="226">
        <v>1.767880741784178</v>
      </c>
      <c r="O83" s="227">
        <v>32.074407743798652</v>
      </c>
    </row>
    <row r="84" spans="1:15" x14ac:dyDescent="0.25">
      <c r="A84" s="220"/>
      <c r="B84" s="221" t="s">
        <v>26</v>
      </c>
      <c r="C84" s="225">
        <v>0.19891591040703652</v>
      </c>
      <c r="D84" s="226">
        <v>0.16274938124212077</v>
      </c>
      <c r="E84" s="226">
        <v>0.14466611665966289</v>
      </c>
      <c r="F84" s="226">
        <v>0.18083264582457861</v>
      </c>
      <c r="G84" s="226">
        <v>0.19891591040703652</v>
      </c>
      <c r="H84" s="226">
        <v>0.19891591040703652</v>
      </c>
      <c r="I84" s="226">
        <v>0.25316570415441009</v>
      </c>
      <c r="J84" s="226">
        <v>0.19891591040703652</v>
      </c>
      <c r="K84" s="226">
        <v>0.21699917498949436</v>
      </c>
      <c r="L84" s="226">
        <v>0.23508243957195221</v>
      </c>
      <c r="M84" s="226">
        <v>0.18083264582457861</v>
      </c>
      <c r="N84" s="226">
        <v>0.12658285207720504</v>
      </c>
      <c r="O84" s="227">
        <v>2.2965746019721491</v>
      </c>
    </row>
    <row r="85" spans="1:15" x14ac:dyDescent="0.25">
      <c r="A85" s="220"/>
      <c r="B85" s="221" t="s">
        <v>27</v>
      </c>
      <c r="C85" s="225">
        <v>2.9770142189250302</v>
      </c>
      <c r="D85" s="226">
        <v>2.4357389063932069</v>
      </c>
      <c r="E85" s="226">
        <v>2.1651012501272944</v>
      </c>
      <c r="F85" s="226">
        <v>2.7063765626591185</v>
      </c>
      <c r="G85" s="226">
        <v>2.9770142189250302</v>
      </c>
      <c r="H85" s="226">
        <v>2.9770142189250302</v>
      </c>
      <c r="I85" s="226">
        <v>3.7889271877227659</v>
      </c>
      <c r="J85" s="226">
        <v>2.9770142189250302</v>
      </c>
      <c r="K85" s="226">
        <v>3.2476518751909427</v>
      </c>
      <c r="L85" s="226">
        <v>3.5182895314568539</v>
      </c>
      <c r="M85" s="226">
        <v>2.7063765626591185</v>
      </c>
      <c r="N85" s="226">
        <v>1.894463593861383</v>
      </c>
      <c r="O85" s="227">
        <v>34.370982345770805</v>
      </c>
    </row>
    <row r="86" spans="1:15" x14ac:dyDescent="0.25">
      <c r="A86" s="220"/>
      <c r="B86" s="221" t="s">
        <v>51</v>
      </c>
      <c r="C86" s="225">
        <v>2.7313360727523217</v>
      </c>
      <c r="D86" s="226">
        <v>2.2347295140700814</v>
      </c>
      <c r="E86" s="226">
        <v>1.9864262347289612</v>
      </c>
      <c r="F86" s="226">
        <v>2.4830327934112013</v>
      </c>
      <c r="G86" s="226">
        <v>2.7313360727523217</v>
      </c>
      <c r="H86" s="226">
        <v>2.7313360727523217</v>
      </c>
      <c r="I86" s="226">
        <v>3.476245910775682</v>
      </c>
      <c r="J86" s="226">
        <v>2.7313360727523217</v>
      </c>
      <c r="K86" s="226">
        <v>2.9796393520934417</v>
      </c>
      <c r="L86" s="226">
        <v>3.2279426314345621</v>
      </c>
      <c r="M86" s="226">
        <v>2.4830327934112013</v>
      </c>
      <c r="N86" s="226">
        <v>1.738122955387841</v>
      </c>
      <c r="O86" s="227">
        <v>31.53451647632226</v>
      </c>
    </row>
    <row r="87" spans="1:15" x14ac:dyDescent="0.25">
      <c r="A87" s="220"/>
      <c r="B87" s="221" t="s">
        <v>89</v>
      </c>
      <c r="C87" s="225">
        <v>0</v>
      </c>
      <c r="D87" s="226">
        <v>0</v>
      </c>
      <c r="E87" s="226">
        <v>0</v>
      </c>
      <c r="F87" s="226">
        <v>0</v>
      </c>
      <c r="G87" s="226">
        <v>0</v>
      </c>
      <c r="H87" s="226">
        <v>0</v>
      </c>
      <c r="I87" s="226">
        <v>0</v>
      </c>
      <c r="J87" s="226">
        <v>0</v>
      </c>
      <c r="K87" s="226">
        <v>0</v>
      </c>
      <c r="L87" s="226">
        <v>0</v>
      </c>
      <c r="M87" s="226">
        <v>0</v>
      </c>
      <c r="N87" s="226">
        <v>0</v>
      </c>
      <c r="O87" s="227">
        <v>0</v>
      </c>
    </row>
    <row r="88" spans="1:15" x14ac:dyDescent="0.25">
      <c r="A88" s="220"/>
      <c r="B88" s="221" t="s">
        <v>91</v>
      </c>
      <c r="C88" s="225">
        <v>0</v>
      </c>
      <c r="D88" s="226">
        <v>0</v>
      </c>
      <c r="E88" s="226">
        <v>0</v>
      </c>
      <c r="F88" s="226">
        <v>0</v>
      </c>
      <c r="G88" s="226">
        <v>0</v>
      </c>
      <c r="H88" s="226">
        <v>0</v>
      </c>
      <c r="I88" s="226">
        <v>0</v>
      </c>
      <c r="J88" s="226">
        <v>0</v>
      </c>
      <c r="K88" s="226">
        <v>0</v>
      </c>
      <c r="L88" s="226">
        <v>0</v>
      </c>
      <c r="M88" s="226">
        <v>0</v>
      </c>
      <c r="N88" s="226">
        <v>0</v>
      </c>
      <c r="O88" s="227">
        <v>0</v>
      </c>
    </row>
    <row r="89" spans="1:15" x14ac:dyDescent="0.25">
      <c r="A89" s="210" t="s">
        <v>58</v>
      </c>
      <c r="B89" s="210" t="s">
        <v>72</v>
      </c>
      <c r="C89" s="217">
        <v>0</v>
      </c>
      <c r="D89" s="218">
        <v>0</v>
      </c>
      <c r="E89" s="218">
        <v>0</v>
      </c>
      <c r="F89" s="218">
        <v>0</v>
      </c>
      <c r="G89" s="218">
        <v>0</v>
      </c>
      <c r="H89" s="218">
        <v>0</v>
      </c>
      <c r="I89" s="218">
        <v>0</v>
      </c>
      <c r="J89" s="218">
        <v>0</v>
      </c>
      <c r="K89" s="218">
        <v>0</v>
      </c>
      <c r="L89" s="218">
        <v>0</v>
      </c>
      <c r="M89" s="218">
        <v>0</v>
      </c>
      <c r="N89" s="218">
        <v>0</v>
      </c>
      <c r="O89" s="219">
        <v>0</v>
      </c>
    </row>
    <row r="90" spans="1:15" x14ac:dyDescent="0.25">
      <c r="A90" s="220"/>
      <c r="B90" s="221" t="s">
        <v>25</v>
      </c>
      <c r="C90" s="225">
        <v>0</v>
      </c>
      <c r="D90" s="226">
        <v>0</v>
      </c>
      <c r="E90" s="226">
        <v>0</v>
      </c>
      <c r="F90" s="226">
        <v>0</v>
      </c>
      <c r="G90" s="226">
        <v>0</v>
      </c>
      <c r="H90" s="226">
        <v>0</v>
      </c>
      <c r="I90" s="226">
        <v>0</v>
      </c>
      <c r="J90" s="226">
        <v>0</v>
      </c>
      <c r="K90" s="226">
        <v>0</v>
      </c>
      <c r="L90" s="226">
        <v>0</v>
      </c>
      <c r="M90" s="226">
        <v>0</v>
      </c>
      <c r="N90" s="226">
        <v>0</v>
      </c>
      <c r="O90" s="227">
        <v>0</v>
      </c>
    </row>
    <row r="91" spans="1:15" x14ac:dyDescent="0.25">
      <c r="A91" s="220"/>
      <c r="B91" s="221" t="s">
        <v>26</v>
      </c>
      <c r="C91" s="225">
        <v>0</v>
      </c>
      <c r="D91" s="226">
        <v>0</v>
      </c>
      <c r="E91" s="226">
        <v>0</v>
      </c>
      <c r="F91" s="226">
        <v>0</v>
      </c>
      <c r="G91" s="226">
        <v>0</v>
      </c>
      <c r="H91" s="226">
        <v>0</v>
      </c>
      <c r="I91" s="226">
        <v>0</v>
      </c>
      <c r="J91" s="226">
        <v>0</v>
      </c>
      <c r="K91" s="226">
        <v>0</v>
      </c>
      <c r="L91" s="226">
        <v>0</v>
      </c>
      <c r="M91" s="226">
        <v>0</v>
      </c>
      <c r="N91" s="226">
        <v>0</v>
      </c>
      <c r="O91" s="227">
        <v>0</v>
      </c>
    </row>
    <row r="92" spans="1:15" x14ac:dyDescent="0.25">
      <c r="A92" s="220"/>
      <c r="B92" s="221" t="s">
        <v>27</v>
      </c>
      <c r="C92" s="225">
        <v>0</v>
      </c>
      <c r="D92" s="226">
        <v>0</v>
      </c>
      <c r="E92" s="226">
        <v>0</v>
      </c>
      <c r="F92" s="226">
        <v>0</v>
      </c>
      <c r="G92" s="226">
        <v>0</v>
      </c>
      <c r="H92" s="226">
        <v>0</v>
      </c>
      <c r="I92" s="226">
        <v>0</v>
      </c>
      <c r="J92" s="226">
        <v>0</v>
      </c>
      <c r="K92" s="226">
        <v>0</v>
      </c>
      <c r="L92" s="226">
        <v>0</v>
      </c>
      <c r="M92" s="226">
        <v>0</v>
      </c>
      <c r="N92" s="226">
        <v>0</v>
      </c>
      <c r="O92" s="227">
        <v>0</v>
      </c>
    </row>
    <row r="93" spans="1:15" x14ac:dyDescent="0.25">
      <c r="A93" s="220"/>
      <c r="B93" s="221" t="s">
        <v>51</v>
      </c>
      <c r="C93" s="225">
        <v>0</v>
      </c>
      <c r="D93" s="226">
        <v>0</v>
      </c>
      <c r="E93" s="226">
        <v>0</v>
      </c>
      <c r="F93" s="226">
        <v>0</v>
      </c>
      <c r="G93" s="226">
        <v>0</v>
      </c>
      <c r="H93" s="226">
        <v>0</v>
      </c>
      <c r="I93" s="226">
        <v>0</v>
      </c>
      <c r="J93" s="226">
        <v>0</v>
      </c>
      <c r="K93" s="226">
        <v>0</v>
      </c>
      <c r="L93" s="226">
        <v>0</v>
      </c>
      <c r="M93" s="226">
        <v>0</v>
      </c>
      <c r="N93" s="226">
        <v>0</v>
      </c>
      <c r="O93" s="227">
        <v>0</v>
      </c>
    </row>
    <row r="94" spans="1:15" x14ac:dyDescent="0.25">
      <c r="A94" s="220"/>
      <c r="B94" s="221" t="s">
        <v>89</v>
      </c>
      <c r="C94" s="225">
        <v>0</v>
      </c>
      <c r="D94" s="226">
        <v>0</v>
      </c>
      <c r="E94" s="226">
        <v>0</v>
      </c>
      <c r="F94" s="226">
        <v>0</v>
      </c>
      <c r="G94" s="226">
        <v>0</v>
      </c>
      <c r="H94" s="226">
        <v>0</v>
      </c>
      <c r="I94" s="226">
        <v>0</v>
      </c>
      <c r="J94" s="226">
        <v>0</v>
      </c>
      <c r="K94" s="226">
        <v>0</v>
      </c>
      <c r="L94" s="226">
        <v>0</v>
      </c>
      <c r="M94" s="226">
        <v>0</v>
      </c>
      <c r="N94" s="226">
        <v>0</v>
      </c>
      <c r="O94" s="227">
        <v>0</v>
      </c>
    </row>
    <row r="95" spans="1:15" x14ac:dyDescent="0.25">
      <c r="A95" s="220"/>
      <c r="B95" s="221" t="s">
        <v>91</v>
      </c>
      <c r="C95" s="225">
        <v>0</v>
      </c>
      <c r="D95" s="226">
        <v>0</v>
      </c>
      <c r="E95" s="226">
        <v>0</v>
      </c>
      <c r="F95" s="226">
        <v>0</v>
      </c>
      <c r="G95" s="226">
        <v>0</v>
      </c>
      <c r="H95" s="226">
        <v>0</v>
      </c>
      <c r="I95" s="226">
        <v>0</v>
      </c>
      <c r="J95" s="226">
        <v>0</v>
      </c>
      <c r="K95" s="226">
        <v>0</v>
      </c>
      <c r="L95" s="226">
        <v>0</v>
      </c>
      <c r="M95" s="226">
        <v>0</v>
      </c>
      <c r="N95" s="226">
        <v>0</v>
      </c>
      <c r="O95" s="227">
        <v>0</v>
      </c>
    </row>
    <row r="96" spans="1:15" x14ac:dyDescent="0.25">
      <c r="A96" s="210" t="s">
        <v>59</v>
      </c>
      <c r="B96" s="210" t="s">
        <v>72</v>
      </c>
      <c r="C96" s="217">
        <v>18.531733827909243</v>
      </c>
      <c r="D96" s="218">
        <v>21.036022183032113</v>
      </c>
      <c r="E96" s="218">
        <v>15.025730130737223</v>
      </c>
      <c r="F96" s="218">
        <v>16.027445472786372</v>
      </c>
      <c r="G96" s="218">
        <v>19.533449169958391</v>
      </c>
      <c r="H96" s="218">
        <v>23.540310538154984</v>
      </c>
      <c r="I96" s="218">
        <v>26.54545656430243</v>
      </c>
      <c r="J96" s="218">
        <v>26.044598893277854</v>
      </c>
      <c r="K96" s="218">
        <v>22.538595196105835</v>
      </c>
      <c r="L96" s="218">
        <v>20.53516451200754</v>
      </c>
      <c r="M96" s="218">
        <v>14.52487245971265</v>
      </c>
      <c r="N96" s="218">
        <v>18.03087615688467</v>
      </c>
      <c r="O96" s="219">
        <v>241.91425510486928</v>
      </c>
    </row>
    <row r="97" spans="1:15" x14ac:dyDescent="0.25">
      <c r="A97" s="220"/>
      <c r="B97" s="221" t="s">
        <v>25</v>
      </c>
      <c r="C97" s="225">
        <v>9.3445124922877962</v>
      </c>
      <c r="D97" s="226">
        <v>10.607284450705066</v>
      </c>
      <c r="E97" s="226">
        <v>7.5766317505036183</v>
      </c>
      <c r="F97" s="226">
        <v>8.0817405338705264</v>
      </c>
      <c r="G97" s="226">
        <v>9.8496212756547052</v>
      </c>
      <c r="H97" s="226">
        <v>11.870056409122336</v>
      </c>
      <c r="I97" s="226">
        <v>13.385382759223063</v>
      </c>
      <c r="J97" s="226">
        <v>13.132828367539606</v>
      </c>
      <c r="K97" s="226">
        <v>11.364947625755429</v>
      </c>
      <c r="L97" s="226">
        <v>10.354730059021614</v>
      </c>
      <c r="M97" s="226">
        <v>7.3240773588201664</v>
      </c>
      <c r="N97" s="226">
        <v>9.0919581006043444</v>
      </c>
      <c r="O97" s="227">
        <v>121.98377118310827</v>
      </c>
    </row>
    <row r="98" spans="1:15" x14ac:dyDescent="0.25">
      <c r="A98" s="220"/>
      <c r="B98" s="221" t="s">
        <v>26</v>
      </c>
      <c r="C98" s="225">
        <v>0.66908078955094097</v>
      </c>
      <c r="D98" s="226">
        <v>0.75949711246323015</v>
      </c>
      <c r="E98" s="226">
        <v>0.54249793747373587</v>
      </c>
      <c r="F98" s="226">
        <v>0.57866446663865156</v>
      </c>
      <c r="G98" s="226">
        <v>0.70524731871585666</v>
      </c>
      <c r="H98" s="226">
        <v>0.84991343537551955</v>
      </c>
      <c r="I98" s="226">
        <v>0.95841302287026675</v>
      </c>
      <c r="J98" s="226">
        <v>0.94032975828780885</v>
      </c>
      <c r="K98" s="226">
        <v>0.81374690621060386</v>
      </c>
      <c r="L98" s="226">
        <v>0.74141384788077236</v>
      </c>
      <c r="M98" s="226">
        <v>0.52441467289127808</v>
      </c>
      <c r="N98" s="226">
        <v>0.65099752496848307</v>
      </c>
      <c r="O98" s="227">
        <v>8.734216793327148</v>
      </c>
    </row>
    <row r="99" spans="1:15" x14ac:dyDescent="0.25">
      <c r="A99" s="220"/>
      <c r="B99" s="221" t="s">
        <v>27</v>
      </c>
      <c r="C99" s="225">
        <v>10.013593281838737</v>
      </c>
      <c r="D99" s="226">
        <v>11.366781563168296</v>
      </c>
      <c r="E99" s="226">
        <v>8.1191296879773542</v>
      </c>
      <c r="F99" s="226">
        <v>8.6604050005091775</v>
      </c>
      <c r="G99" s="226">
        <v>10.554868594370562</v>
      </c>
      <c r="H99" s="226">
        <v>12.719969844497856</v>
      </c>
      <c r="I99" s="226">
        <v>14.343795782093331</v>
      </c>
      <c r="J99" s="226">
        <v>14.073158125827415</v>
      </c>
      <c r="K99" s="226">
        <v>12.178694531966032</v>
      </c>
      <c r="L99" s="226">
        <v>11.096143906902387</v>
      </c>
      <c r="M99" s="226">
        <v>7.8484920317114444</v>
      </c>
      <c r="N99" s="226">
        <v>9.7429556255728276</v>
      </c>
      <c r="O99" s="227">
        <v>130.71798797643541</v>
      </c>
    </row>
    <row r="100" spans="1:15" x14ac:dyDescent="0.25">
      <c r="A100" s="220"/>
      <c r="B100" s="221" t="s">
        <v>51</v>
      </c>
      <c r="C100" s="225">
        <v>9.1872213356214463</v>
      </c>
      <c r="D100" s="226">
        <v>10.428737732327047</v>
      </c>
      <c r="E100" s="226">
        <v>7.4490983802336048</v>
      </c>
      <c r="F100" s="226">
        <v>7.9457049389158447</v>
      </c>
      <c r="G100" s="226">
        <v>9.6838278943036862</v>
      </c>
      <c r="H100" s="226">
        <v>11.670254129032648</v>
      </c>
      <c r="I100" s="226">
        <v>13.160073805079367</v>
      </c>
      <c r="J100" s="226">
        <v>12.911770525738248</v>
      </c>
      <c r="K100" s="226">
        <v>11.173647570350406</v>
      </c>
      <c r="L100" s="226">
        <v>10.180434452985926</v>
      </c>
      <c r="M100" s="226">
        <v>7.200795100892484</v>
      </c>
      <c r="N100" s="226">
        <v>8.9389180562803254</v>
      </c>
      <c r="O100" s="227">
        <v>119.93048392176104</v>
      </c>
    </row>
    <row r="101" spans="1:15" x14ac:dyDescent="0.25">
      <c r="A101" s="220"/>
      <c r="B101" s="221" t="s">
        <v>89</v>
      </c>
      <c r="C101" s="225">
        <v>0</v>
      </c>
      <c r="D101" s="226">
        <v>0</v>
      </c>
      <c r="E101" s="226">
        <v>0</v>
      </c>
      <c r="F101" s="226">
        <v>0</v>
      </c>
      <c r="G101" s="226">
        <v>0</v>
      </c>
      <c r="H101" s="226">
        <v>0</v>
      </c>
      <c r="I101" s="226">
        <v>0</v>
      </c>
      <c r="J101" s="226">
        <v>0</v>
      </c>
      <c r="K101" s="226">
        <v>0</v>
      </c>
      <c r="L101" s="226">
        <v>0</v>
      </c>
      <c r="M101" s="226">
        <v>0</v>
      </c>
      <c r="N101" s="226">
        <v>0</v>
      </c>
      <c r="O101" s="227">
        <v>0</v>
      </c>
    </row>
    <row r="102" spans="1:15" x14ac:dyDescent="0.25">
      <c r="A102" s="220"/>
      <c r="B102" s="221" t="s">
        <v>91</v>
      </c>
      <c r="C102" s="225">
        <v>0</v>
      </c>
      <c r="D102" s="226">
        <v>0</v>
      </c>
      <c r="E102" s="226">
        <v>0</v>
      </c>
      <c r="F102" s="226">
        <v>0</v>
      </c>
      <c r="G102" s="226">
        <v>0</v>
      </c>
      <c r="H102" s="226">
        <v>0</v>
      </c>
      <c r="I102" s="226">
        <v>0</v>
      </c>
      <c r="J102" s="226">
        <v>0</v>
      </c>
      <c r="K102" s="226">
        <v>0</v>
      </c>
      <c r="L102" s="226">
        <v>0</v>
      </c>
      <c r="M102" s="226">
        <v>0</v>
      </c>
      <c r="N102" s="226">
        <v>0</v>
      </c>
      <c r="O102" s="227">
        <v>0</v>
      </c>
    </row>
    <row r="103" spans="1:15" x14ac:dyDescent="0.25">
      <c r="A103" s="210" t="s">
        <v>83</v>
      </c>
      <c r="B103" s="210" t="s">
        <v>72</v>
      </c>
      <c r="C103" s="217">
        <v>105.68096858618514</v>
      </c>
      <c r="D103" s="218">
        <v>100.17153420491482</v>
      </c>
      <c r="E103" s="218">
        <v>61.104635864998045</v>
      </c>
      <c r="F103" s="218">
        <v>54.593486141678582</v>
      </c>
      <c r="G103" s="218">
        <v>51.087482444506563</v>
      </c>
      <c r="H103" s="218">
        <v>65.612354904219217</v>
      </c>
      <c r="I103" s="218">
        <v>73.125219969587818</v>
      </c>
      <c r="J103" s="218">
        <v>74.627792982661546</v>
      </c>
      <c r="K103" s="218">
        <v>61.104635864998045</v>
      </c>
      <c r="L103" s="218">
        <v>58.600347509875171</v>
      </c>
      <c r="M103" s="218">
        <v>59.101205180899747</v>
      </c>
      <c r="N103" s="218">
        <v>89.1526654423742</v>
      </c>
      <c r="O103" s="219">
        <v>853.96232909689888</v>
      </c>
    </row>
    <row r="104" spans="1:15" x14ac:dyDescent="0.25">
      <c r="A104" s="220"/>
      <c r="B104" s="221" t="s">
        <v>25</v>
      </c>
      <c r="C104" s="225">
        <v>53.288976645208791</v>
      </c>
      <c r="D104" s="226">
        <v>50.510878336690794</v>
      </c>
      <c r="E104" s="226">
        <v>30.811635785381387</v>
      </c>
      <c r="F104" s="226">
        <v>27.528428693496487</v>
      </c>
      <c r="G104" s="226">
        <v>25.760547951712308</v>
      </c>
      <c r="H104" s="226">
        <v>33.084625310532481</v>
      </c>
      <c r="I104" s="226">
        <v>36.872941185784278</v>
      </c>
      <c r="J104" s="226">
        <v>37.630604360834646</v>
      </c>
      <c r="K104" s="226">
        <v>30.811635785381387</v>
      </c>
      <c r="L104" s="226">
        <v>29.548863826964112</v>
      </c>
      <c r="M104" s="226">
        <v>29.801418218647569</v>
      </c>
      <c r="N104" s="226">
        <v>44.954681719654815</v>
      </c>
      <c r="O104" s="227">
        <v>430.60523782028906</v>
      </c>
    </row>
    <row r="105" spans="1:15" x14ac:dyDescent="0.25">
      <c r="A105" s="220"/>
      <c r="B105" s="221" t="s">
        <v>26</v>
      </c>
      <c r="C105" s="225">
        <v>3.8155688268986094</v>
      </c>
      <c r="D105" s="226">
        <v>3.6166529164915726</v>
      </c>
      <c r="E105" s="226">
        <v>2.2061582790598591</v>
      </c>
      <c r="F105" s="226">
        <v>1.9710758394879073</v>
      </c>
      <c r="G105" s="226">
        <v>1.8444929874107021</v>
      </c>
      <c r="H105" s="226">
        <v>2.3689076603019799</v>
      </c>
      <c r="I105" s="226">
        <v>2.6401566290388478</v>
      </c>
      <c r="J105" s="226">
        <v>2.6944064227862219</v>
      </c>
      <c r="K105" s="226">
        <v>2.2061582790598591</v>
      </c>
      <c r="L105" s="226">
        <v>2.1157419561475703</v>
      </c>
      <c r="M105" s="226">
        <v>2.1338252207300279</v>
      </c>
      <c r="N105" s="226">
        <v>3.2188210956774994</v>
      </c>
      <c r="O105" s="227">
        <v>30.831966113090655</v>
      </c>
    </row>
    <row r="106" spans="1:15" x14ac:dyDescent="0.25">
      <c r="A106" s="220"/>
      <c r="B106" s="221" t="s">
        <v>27</v>
      </c>
      <c r="C106" s="225">
        <v>57.104545472107404</v>
      </c>
      <c r="D106" s="226">
        <v>54.127531253182369</v>
      </c>
      <c r="E106" s="226">
        <v>33.017794064441247</v>
      </c>
      <c r="F106" s="226">
        <v>29.499504532984393</v>
      </c>
      <c r="G106" s="226">
        <v>27.605040939123011</v>
      </c>
      <c r="H106" s="226">
        <v>35.453532970834459</v>
      </c>
      <c r="I106" s="226">
        <v>39.513097814823126</v>
      </c>
      <c r="J106" s="226">
        <v>40.325010783620868</v>
      </c>
      <c r="K106" s="226">
        <v>33.017794064441247</v>
      </c>
      <c r="L106" s="226">
        <v>31.664605783111682</v>
      </c>
      <c r="M106" s="226">
        <v>31.935243439377597</v>
      </c>
      <c r="N106" s="226">
        <v>48.173502815332313</v>
      </c>
      <c r="O106" s="227">
        <v>461.43720393337969</v>
      </c>
    </row>
    <row r="107" spans="1:15" x14ac:dyDescent="0.25">
      <c r="A107" s="220"/>
      <c r="B107" s="221" t="s">
        <v>51</v>
      </c>
      <c r="C107" s="225">
        <v>52.391991940976354</v>
      </c>
      <c r="D107" s="226">
        <v>49.660655868224026</v>
      </c>
      <c r="E107" s="226">
        <v>30.293000079616657</v>
      </c>
      <c r="F107" s="226">
        <v>27.065057448182095</v>
      </c>
      <c r="G107" s="226">
        <v>25.326934492794255</v>
      </c>
      <c r="H107" s="226">
        <v>32.527729593686736</v>
      </c>
      <c r="I107" s="226">
        <v>36.25227878380354</v>
      </c>
      <c r="J107" s="226">
        <v>36.997188621826901</v>
      </c>
      <c r="K107" s="226">
        <v>30.293000079616657</v>
      </c>
      <c r="L107" s="226">
        <v>29.051483682911059</v>
      </c>
      <c r="M107" s="226">
        <v>29.299786962252178</v>
      </c>
      <c r="N107" s="226">
        <v>44.197983722719385</v>
      </c>
      <c r="O107" s="227">
        <v>423.35709127660994</v>
      </c>
    </row>
    <row r="108" spans="1:15" x14ac:dyDescent="0.25">
      <c r="A108" s="220"/>
      <c r="B108" s="221" t="s">
        <v>89</v>
      </c>
      <c r="C108" s="225">
        <v>0</v>
      </c>
      <c r="D108" s="226">
        <v>0</v>
      </c>
      <c r="E108" s="226">
        <v>0</v>
      </c>
      <c r="F108" s="226">
        <v>0</v>
      </c>
      <c r="G108" s="226">
        <v>0</v>
      </c>
      <c r="H108" s="226">
        <v>0</v>
      </c>
      <c r="I108" s="226">
        <v>0</v>
      </c>
      <c r="J108" s="226">
        <v>0</v>
      </c>
      <c r="K108" s="226">
        <v>0</v>
      </c>
      <c r="L108" s="226">
        <v>0</v>
      </c>
      <c r="M108" s="226">
        <v>0</v>
      </c>
      <c r="N108" s="226">
        <v>0</v>
      </c>
      <c r="O108" s="227">
        <v>0</v>
      </c>
    </row>
    <row r="109" spans="1:15" x14ac:dyDescent="0.25">
      <c r="A109" s="220"/>
      <c r="B109" s="221" t="s">
        <v>91</v>
      </c>
      <c r="C109" s="225">
        <v>0</v>
      </c>
      <c r="D109" s="226">
        <v>0</v>
      </c>
      <c r="E109" s="226">
        <v>0</v>
      </c>
      <c r="F109" s="226">
        <v>0</v>
      </c>
      <c r="G109" s="226">
        <v>0</v>
      </c>
      <c r="H109" s="226">
        <v>0</v>
      </c>
      <c r="I109" s="226">
        <v>0</v>
      </c>
      <c r="J109" s="226">
        <v>0</v>
      </c>
      <c r="K109" s="226">
        <v>0</v>
      </c>
      <c r="L109" s="226">
        <v>0</v>
      </c>
      <c r="M109" s="226">
        <v>0</v>
      </c>
      <c r="N109" s="226">
        <v>0</v>
      </c>
      <c r="O109" s="227">
        <v>0</v>
      </c>
    </row>
    <row r="110" spans="1:15" x14ac:dyDescent="0.25">
      <c r="A110" s="210" t="s">
        <v>85</v>
      </c>
      <c r="B110" s="210" t="s">
        <v>72</v>
      </c>
      <c r="C110" s="217">
        <v>23.540310538154984</v>
      </c>
      <c r="D110" s="218">
        <v>28.548887248400725</v>
      </c>
      <c r="E110" s="218">
        <v>17.029160814835521</v>
      </c>
      <c r="F110" s="218">
        <v>13.523157117663501</v>
      </c>
      <c r="G110" s="218">
        <v>20.034306840982964</v>
      </c>
      <c r="H110" s="218">
        <v>23.039452867130411</v>
      </c>
      <c r="I110" s="218">
        <v>27.547171906351576</v>
      </c>
      <c r="J110" s="218">
        <v>27.547171906351576</v>
      </c>
      <c r="K110" s="218">
        <v>22.037737525081262</v>
      </c>
      <c r="L110" s="218">
        <v>17.029160814835521</v>
      </c>
      <c r="M110" s="218">
        <v>17.530018485860094</v>
      </c>
      <c r="N110" s="218">
        <v>19.533449169958391</v>
      </c>
      <c r="O110" s="219">
        <v>256.93998523560651</v>
      </c>
    </row>
    <row r="111" spans="1:15" x14ac:dyDescent="0.25">
      <c r="A111" s="220"/>
      <c r="B111" s="221" t="s">
        <v>25</v>
      </c>
      <c r="C111" s="225">
        <v>11.870056409122336</v>
      </c>
      <c r="D111" s="226">
        <v>14.395600325956876</v>
      </c>
      <c r="E111" s="226">
        <v>8.5868493172374354</v>
      </c>
      <c r="F111" s="226">
        <v>6.8189685754532574</v>
      </c>
      <c r="G111" s="226">
        <v>10.102175667338159</v>
      </c>
      <c r="H111" s="226">
        <v>11.617502017438884</v>
      </c>
      <c r="I111" s="226">
        <v>13.890491542589967</v>
      </c>
      <c r="J111" s="226">
        <v>13.890491542589967</v>
      </c>
      <c r="K111" s="226">
        <v>11.112393234071975</v>
      </c>
      <c r="L111" s="226">
        <v>8.5868493172374354</v>
      </c>
      <c r="M111" s="226">
        <v>8.839403708920889</v>
      </c>
      <c r="N111" s="226">
        <v>9.8496212756547052</v>
      </c>
      <c r="O111" s="227">
        <v>129.5604029336119</v>
      </c>
    </row>
    <row r="112" spans="1:15" x14ac:dyDescent="0.25">
      <c r="A112" s="220"/>
      <c r="B112" s="221" t="s">
        <v>26</v>
      </c>
      <c r="C112" s="225">
        <v>0.84991343537551955</v>
      </c>
      <c r="D112" s="226">
        <v>1.0307460812000981</v>
      </c>
      <c r="E112" s="226">
        <v>0.61483099580356726</v>
      </c>
      <c r="F112" s="226">
        <v>0.48824814372636233</v>
      </c>
      <c r="G112" s="226">
        <v>0.72333058329831446</v>
      </c>
      <c r="H112" s="226">
        <v>0.83183017079306176</v>
      </c>
      <c r="I112" s="226">
        <v>0.99457955203518256</v>
      </c>
      <c r="J112" s="226">
        <v>0.99457955203518256</v>
      </c>
      <c r="K112" s="226">
        <v>0.79566364162814607</v>
      </c>
      <c r="L112" s="226">
        <v>0.61483099580356726</v>
      </c>
      <c r="M112" s="226">
        <v>0.63291426038602527</v>
      </c>
      <c r="N112" s="226">
        <v>0.70524731871585666</v>
      </c>
      <c r="O112" s="227">
        <v>9.2767147308008848</v>
      </c>
    </row>
    <row r="113" spans="1:15" x14ac:dyDescent="0.25">
      <c r="A113" s="220"/>
      <c r="B113" s="221" t="s">
        <v>27</v>
      </c>
      <c r="C113" s="225">
        <v>12.719969844497856</v>
      </c>
      <c r="D113" s="226">
        <v>15.426346407156974</v>
      </c>
      <c r="E113" s="226">
        <v>9.2016803130410025</v>
      </c>
      <c r="F113" s="226">
        <v>7.3072167191796193</v>
      </c>
      <c r="G113" s="226">
        <v>10.825506250636474</v>
      </c>
      <c r="H113" s="226">
        <v>12.449332188231946</v>
      </c>
      <c r="I113" s="226">
        <v>14.885071094625149</v>
      </c>
      <c r="J113" s="226">
        <v>14.885071094625149</v>
      </c>
      <c r="K113" s="226">
        <v>11.908056875700121</v>
      </c>
      <c r="L113" s="226">
        <v>9.2016803130410025</v>
      </c>
      <c r="M113" s="226">
        <v>9.4723179693069142</v>
      </c>
      <c r="N113" s="226">
        <v>10.554868594370562</v>
      </c>
      <c r="O113" s="227">
        <v>138.83711766441277</v>
      </c>
    </row>
    <row r="114" spans="1:15" x14ac:dyDescent="0.25">
      <c r="A114" s="220"/>
      <c r="B114" s="221" t="s">
        <v>51</v>
      </c>
      <c r="C114" s="225">
        <v>11.670254129032648</v>
      </c>
      <c r="D114" s="226">
        <v>14.153286922443849</v>
      </c>
      <c r="E114" s="226">
        <v>8.4423114975980855</v>
      </c>
      <c r="F114" s="226">
        <v>6.7041885422102441</v>
      </c>
      <c r="G114" s="226">
        <v>9.9321311736448052</v>
      </c>
      <c r="H114" s="226">
        <v>11.421950849691527</v>
      </c>
      <c r="I114" s="226">
        <v>13.656680363761609</v>
      </c>
      <c r="J114" s="226">
        <v>13.656680363761609</v>
      </c>
      <c r="K114" s="226">
        <v>10.925344291009287</v>
      </c>
      <c r="L114" s="226">
        <v>8.4423114975980855</v>
      </c>
      <c r="M114" s="226">
        <v>8.6906147769392046</v>
      </c>
      <c r="N114" s="226">
        <v>9.6838278943036862</v>
      </c>
      <c r="O114" s="227">
        <v>127.37958230199463</v>
      </c>
    </row>
    <row r="115" spans="1:15" x14ac:dyDescent="0.25">
      <c r="A115" s="220"/>
      <c r="B115" s="221" t="s">
        <v>89</v>
      </c>
      <c r="C115" s="225">
        <v>0</v>
      </c>
      <c r="D115" s="226">
        <v>0</v>
      </c>
      <c r="E115" s="226">
        <v>0</v>
      </c>
      <c r="F115" s="226">
        <v>0</v>
      </c>
      <c r="G115" s="226">
        <v>0</v>
      </c>
      <c r="H115" s="226">
        <v>0</v>
      </c>
      <c r="I115" s="226">
        <v>0</v>
      </c>
      <c r="J115" s="226">
        <v>0</v>
      </c>
      <c r="K115" s="226">
        <v>0</v>
      </c>
      <c r="L115" s="226">
        <v>0</v>
      </c>
      <c r="M115" s="226">
        <v>0</v>
      </c>
      <c r="N115" s="226">
        <v>0</v>
      </c>
      <c r="O115" s="227">
        <v>0</v>
      </c>
    </row>
    <row r="116" spans="1:15" x14ac:dyDescent="0.25">
      <c r="A116" s="220"/>
      <c r="B116" s="221" t="s">
        <v>91</v>
      </c>
      <c r="C116" s="225">
        <v>0</v>
      </c>
      <c r="D116" s="226">
        <v>0</v>
      </c>
      <c r="E116" s="226">
        <v>0</v>
      </c>
      <c r="F116" s="226">
        <v>0</v>
      </c>
      <c r="G116" s="226">
        <v>0</v>
      </c>
      <c r="H116" s="226">
        <v>0</v>
      </c>
      <c r="I116" s="226">
        <v>0</v>
      </c>
      <c r="J116" s="226">
        <v>0</v>
      </c>
      <c r="K116" s="226">
        <v>0</v>
      </c>
      <c r="L116" s="226">
        <v>0</v>
      </c>
      <c r="M116" s="226">
        <v>0</v>
      </c>
      <c r="N116" s="226">
        <v>0</v>
      </c>
      <c r="O116" s="227">
        <v>0</v>
      </c>
    </row>
    <row r="117" spans="1:15" x14ac:dyDescent="0.25">
      <c r="A117" s="210" t="s">
        <v>73</v>
      </c>
      <c r="B117" s="211"/>
      <c r="C117" s="217">
        <v>4718.0792610514891</v>
      </c>
      <c r="D117" s="218">
        <v>4923.4309061715639</v>
      </c>
      <c r="E117" s="218">
        <v>3508.0071278561172</v>
      </c>
      <c r="F117" s="218">
        <v>3497.4891167646015</v>
      </c>
      <c r="G117" s="218">
        <v>4288.8442369834283</v>
      </c>
      <c r="H117" s="218">
        <v>4875.3485697532051</v>
      </c>
      <c r="I117" s="218">
        <v>5338.1410577799106</v>
      </c>
      <c r="J117" s="218">
        <v>5372.1993794095824</v>
      </c>
      <c r="K117" s="218">
        <v>4654.9711945023928</v>
      </c>
      <c r="L117" s="218">
        <v>4235.7533238548231</v>
      </c>
      <c r="M117" s="218">
        <v>3394.3124365335393</v>
      </c>
      <c r="N117" s="218">
        <v>4220.7275937240865</v>
      </c>
      <c r="O117" s="219">
        <v>53027.304204384731</v>
      </c>
    </row>
    <row r="118" spans="1:15" ht="13" x14ac:dyDescent="0.3">
      <c r="A118" s="210" t="s">
        <v>28</v>
      </c>
      <c r="B118" s="211"/>
      <c r="C118" s="228">
        <v>2379.0623696581365</v>
      </c>
      <c r="D118" s="229">
        <v>2482.6096702483528</v>
      </c>
      <c r="E118" s="229">
        <v>1768.8909593509113</v>
      </c>
      <c r="F118" s="229">
        <v>1763.5873171255589</v>
      </c>
      <c r="G118" s="229">
        <v>2162.6232559854161</v>
      </c>
      <c r="H118" s="229">
        <v>2458.364448646741</v>
      </c>
      <c r="I118" s="229">
        <v>2691.7247065622528</v>
      </c>
      <c r="J118" s="229">
        <v>2708.8984051967277</v>
      </c>
      <c r="K118" s="229">
        <v>2347.2405163060216</v>
      </c>
      <c r="L118" s="229">
        <v>2135.8524904669698</v>
      </c>
      <c r="M118" s="229">
        <v>1711.5611124387676</v>
      </c>
      <c r="N118" s="229">
        <v>2128.2758587164662</v>
      </c>
      <c r="O118" s="230">
        <v>26738.691110702322</v>
      </c>
    </row>
    <row r="119" spans="1:15" ht="13" x14ac:dyDescent="0.3">
      <c r="A119" s="210" t="s">
        <v>29</v>
      </c>
      <c r="B119" s="211"/>
      <c r="C119" s="228">
        <v>170.3443523667531</v>
      </c>
      <c r="D119" s="229">
        <v>177.75849084556083</v>
      </c>
      <c r="E119" s="229">
        <v>126.65518513553489</v>
      </c>
      <c r="F119" s="229">
        <v>126.27543657930327</v>
      </c>
      <c r="G119" s="229">
        <v>154.84699461958667</v>
      </c>
      <c r="H119" s="229">
        <v>176.02249744564483</v>
      </c>
      <c r="I119" s="229">
        <v>192.73143391983592</v>
      </c>
      <c r="J119" s="229">
        <v>193.96109591144307</v>
      </c>
      <c r="K119" s="229">
        <v>168.06586102936339</v>
      </c>
      <c r="L119" s="229">
        <v>152.93016857384615</v>
      </c>
      <c r="M119" s="229">
        <v>122.55028407531695</v>
      </c>
      <c r="N119" s="229">
        <v>152.38767063637243</v>
      </c>
      <c r="O119" s="230">
        <v>1914.5294711385616</v>
      </c>
    </row>
    <row r="120" spans="1:15" ht="13" x14ac:dyDescent="0.3">
      <c r="A120" s="210" t="s">
        <v>30</v>
      </c>
      <c r="B120" s="211"/>
      <c r="C120" s="228">
        <v>2549.4067220248899</v>
      </c>
      <c r="D120" s="229">
        <v>2660.3681610939134</v>
      </c>
      <c r="E120" s="229">
        <v>1895.5461444864461</v>
      </c>
      <c r="F120" s="229">
        <v>1889.8627537048626</v>
      </c>
      <c r="G120" s="229">
        <v>2317.470250605003</v>
      </c>
      <c r="H120" s="229">
        <v>2634.3869460923861</v>
      </c>
      <c r="I120" s="229">
        <v>2884.4561404820884</v>
      </c>
      <c r="J120" s="229">
        <v>2902.8595011081702</v>
      </c>
      <c r="K120" s="229">
        <v>2515.3063773353842</v>
      </c>
      <c r="L120" s="229">
        <v>2288.7826590408172</v>
      </c>
      <c r="M120" s="229">
        <v>1834.1113965140848</v>
      </c>
      <c r="N120" s="229">
        <v>2280.6635293528389</v>
      </c>
      <c r="O120" s="230">
        <v>28653.220581840887</v>
      </c>
    </row>
    <row r="121" spans="1:15" x14ac:dyDescent="0.25">
      <c r="A121" s="210" t="s">
        <v>63</v>
      </c>
      <c r="B121" s="211"/>
      <c r="C121" s="217">
        <v>2339.0168913933517</v>
      </c>
      <c r="D121" s="218">
        <v>2440.8212359232116</v>
      </c>
      <c r="E121" s="218">
        <v>1739.1161685052052</v>
      </c>
      <c r="F121" s="218">
        <v>1733.9017996390421</v>
      </c>
      <c r="G121" s="218">
        <v>2126.2209809980118</v>
      </c>
      <c r="H121" s="218">
        <v>2416.9841211064631</v>
      </c>
      <c r="I121" s="218">
        <v>2646.4163512176578</v>
      </c>
      <c r="J121" s="218">
        <v>2663.3009742128543</v>
      </c>
      <c r="K121" s="218">
        <v>2307.7306781963712</v>
      </c>
      <c r="L121" s="218">
        <v>2099.9008333878528</v>
      </c>
      <c r="M121" s="218">
        <v>1682.7513240947712</v>
      </c>
      <c r="N121" s="218">
        <v>2092.4517350076198</v>
      </c>
      <c r="O121" s="219">
        <v>26288.613093682416</v>
      </c>
    </row>
    <row r="122" spans="1:15" x14ac:dyDescent="0.25">
      <c r="A122" s="210" t="s">
        <v>90</v>
      </c>
      <c r="B122" s="211"/>
      <c r="C122" s="217">
        <v>0</v>
      </c>
      <c r="D122" s="218">
        <v>0</v>
      </c>
      <c r="E122" s="218">
        <v>0</v>
      </c>
      <c r="F122" s="218">
        <v>0</v>
      </c>
      <c r="G122" s="218">
        <v>0</v>
      </c>
      <c r="H122" s="218">
        <v>0</v>
      </c>
      <c r="I122" s="218">
        <v>0</v>
      </c>
      <c r="J122" s="218">
        <v>0</v>
      </c>
      <c r="K122" s="218">
        <v>0</v>
      </c>
      <c r="L122" s="218">
        <v>0</v>
      </c>
      <c r="M122" s="218">
        <v>0</v>
      </c>
      <c r="N122" s="218">
        <v>0</v>
      </c>
      <c r="O122" s="219">
        <v>0</v>
      </c>
    </row>
    <row r="123" spans="1:15" x14ac:dyDescent="0.25">
      <c r="A123" s="231" t="s">
        <v>92</v>
      </c>
      <c r="B123" s="232"/>
      <c r="C123" s="233">
        <v>0</v>
      </c>
      <c r="D123" s="234">
        <v>0</v>
      </c>
      <c r="E123" s="234">
        <v>0</v>
      </c>
      <c r="F123" s="234">
        <v>0</v>
      </c>
      <c r="G123" s="234">
        <v>0</v>
      </c>
      <c r="H123" s="234">
        <v>0</v>
      </c>
      <c r="I123" s="234">
        <v>0</v>
      </c>
      <c r="J123" s="234">
        <v>0</v>
      </c>
      <c r="K123" s="234">
        <v>0</v>
      </c>
      <c r="L123" s="234">
        <v>0</v>
      </c>
      <c r="M123" s="234">
        <v>0</v>
      </c>
      <c r="N123" s="234">
        <v>0</v>
      </c>
      <c r="O123" s="235">
        <v>0</v>
      </c>
    </row>
  </sheetData>
  <phoneticPr fontId="6" type="noConversion"/>
  <pageMargins left="0.5" right="0.5" top="0.73" bottom="0.98" header="0.5" footer="0.5"/>
  <pageSetup scale="54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activeCell="D43" sqref="D43"/>
    </sheetView>
  </sheetViews>
  <sheetFormatPr defaultColWidth="8.7265625" defaultRowHeight="12.5" x14ac:dyDescent="0.25"/>
  <sheetData>
    <row r="1" spans="1:2" x14ac:dyDescent="0.25">
      <c r="A1" t="s">
        <v>65</v>
      </c>
    </row>
    <row r="3" spans="1:2" x14ac:dyDescent="0.25">
      <c r="A3">
        <v>1</v>
      </c>
      <c r="B3" s="1" t="s">
        <v>67</v>
      </c>
    </row>
    <row r="4" spans="1:2" ht="13" x14ac:dyDescent="0.3">
      <c r="A4">
        <v>2</v>
      </c>
      <c r="B4" s="1" t="s">
        <v>66</v>
      </c>
    </row>
    <row r="5" spans="1:2" ht="13" x14ac:dyDescent="0.3">
      <c r="A5">
        <v>3</v>
      </c>
      <c r="B5" s="1" t="s">
        <v>68</v>
      </c>
    </row>
    <row r="6" spans="1:2" ht="13" x14ac:dyDescent="0.3">
      <c r="A6">
        <v>4</v>
      </c>
      <c r="B6" s="2" t="s">
        <v>82</v>
      </c>
    </row>
    <row r="7" spans="1:2" x14ac:dyDescent="0.25">
      <c r="A7">
        <v>5</v>
      </c>
      <c r="B7" s="1" t="s">
        <v>69</v>
      </c>
    </row>
    <row r="8" spans="1:2" x14ac:dyDescent="0.25">
      <c r="A8">
        <v>6</v>
      </c>
      <c r="B8" s="1" t="s">
        <v>70</v>
      </c>
    </row>
    <row r="9" spans="1:2" x14ac:dyDescent="0.25">
      <c r="A9">
        <v>7</v>
      </c>
      <c r="B9" s="3" t="s">
        <v>71</v>
      </c>
    </row>
    <row r="10" spans="1:2" ht="13" x14ac:dyDescent="0.3">
      <c r="A10">
        <v>8</v>
      </c>
      <c r="B10" s="1" t="s">
        <v>74</v>
      </c>
    </row>
    <row r="11" spans="1:2" x14ac:dyDescent="0.25">
      <c r="B11" s="1" t="s">
        <v>75</v>
      </c>
    </row>
    <row r="12" spans="1:2" x14ac:dyDescent="0.25">
      <c r="B12" s="3" t="s">
        <v>76</v>
      </c>
    </row>
    <row r="13" spans="1:2" x14ac:dyDescent="0.25">
      <c r="B13" s="3" t="s">
        <v>77</v>
      </c>
    </row>
    <row r="14" spans="1:2" x14ac:dyDescent="0.25">
      <c r="A14">
        <v>9</v>
      </c>
      <c r="B14" s="1" t="s">
        <v>78</v>
      </c>
    </row>
    <row r="15" spans="1:2" x14ac:dyDescent="0.25">
      <c r="A15">
        <v>10</v>
      </c>
      <c r="B15" s="1" t="s">
        <v>80</v>
      </c>
    </row>
    <row r="16" spans="1:2" x14ac:dyDescent="0.25">
      <c r="A16">
        <v>11</v>
      </c>
      <c r="B16" s="1" t="s">
        <v>81</v>
      </c>
    </row>
  </sheetData>
  <phoneticPr fontId="6" type="noConversion"/>
  <pageMargins left="0.75" right="0.75" top="1" bottom="1" header="0.5" footer="0.5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20"/>
  <sheetViews>
    <sheetView showGridLines="0" tabSelected="1" topLeftCell="A149" zoomScale="80" zoomScaleNormal="80" zoomScaleSheetLayoutView="100" workbookViewId="0">
      <selection activeCell="I21" sqref="I21"/>
    </sheetView>
  </sheetViews>
  <sheetFormatPr defaultColWidth="8.7265625" defaultRowHeight="12.5" x14ac:dyDescent="0.25"/>
  <cols>
    <col min="1" max="1" width="0.54296875" customWidth="1"/>
    <col min="2" max="2" width="10.26953125" bestFit="1" customWidth="1"/>
    <col min="3" max="3" width="10.7265625" bestFit="1" customWidth="1"/>
    <col min="4" max="4" width="11" style="85" customWidth="1"/>
    <col min="5" max="5" width="24.26953125" customWidth="1"/>
    <col min="6" max="6" width="7.7265625" style="85" customWidth="1"/>
    <col min="7" max="7" width="10.1796875" style="85" customWidth="1"/>
    <col min="8" max="8" width="11.1796875" style="85" bestFit="1" customWidth="1"/>
    <col min="9" max="9" width="11.26953125" style="45" customWidth="1"/>
    <col min="10" max="10" width="13.7265625" style="85" customWidth="1"/>
    <col min="11" max="11" width="13.54296875" style="91" customWidth="1"/>
    <col min="12" max="12" width="14.7265625" style="85" customWidth="1"/>
    <col min="13" max="13" width="13.453125" style="85" bestFit="1" customWidth="1"/>
    <col min="14" max="17" width="13.453125" style="85" customWidth="1"/>
    <col min="18" max="18" width="15.54296875" style="177" customWidth="1"/>
  </cols>
  <sheetData>
    <row r="1" spans="2:18" ht="21.5" x14ac:dyDescent="0.3">
      <c r="B1" s="8" t="s">
        <v>98</v>
      </c>
      <c r="C1" s="76"/>
      <c r="D1" s="77"/>
      <c r="E1" s="76"/>
      <c r="F1" s="78" t="s">
        <v>12</v>
      </c>
      <c r="G1" s="79"/>
      <c r="H1" s="80"/>
      <c r="I1" s="81"/>
      <c r="J1" s="180" t="str">
        <f>"True-Up ARR
(CY"&amp;R1&amp;")"</f>
        <v>True-Up ARR
(CY2025)</v>
      </c>
      <c r="K1" s="180" t="str">
        <f>"Projected ARR
(Jan'"&amp;RIGHT(R$1,2)&amp;" - Dec'"&amp;RIGHT(R$1,2)&amp;")"</f>
        <v>Projected ARR
(Jan'25 - Dec'25)</v>
      </c>
      <c r="L1" s="82" t="s">
        <v>47</v>
      </c>
      <c r="M1" s="83"/>
      <c r="N1"/>
      <c r="O1"/>
      <c r="P1"/>
      <c r="Q1"/>
      <c r="R1" s="209">
        <v>2025</v>
      </c>
    </row>
    <row r="2" spans="2:18" ht="13" x14ac:dyDescent="0.3">
      <c r="B2" s="8" t="s">
        <v>54</v>
      </c>
      <c r="C2" s="76"/>
      <c r="D2" s="77"/>
      <c r="E2" s="76"/>
      <c r="F2" s="84">
        <v>9</v>
      </c>
      <c r="G2" s="237"/>
      <c r="H2" s="237"/>
      <c r="I2" s="86" t="s">
        <v>6</v>
      </c>
      <c r="J2" s="87">
        <v>53027.304204384731</v>
      </c>
      <c r="K2" s="87">
        <v>25714.535911845745</v>
      </c>
      <c r="L2" s="187"/>
      <c r="M2" s="89"/>
      <c r="N2"/>
      <c r="O2"/>
      <c r="P2"/>
      <c r="Q2"/>
      <c r="R2" s="95"/>
    </row>
    <row r="3" spans="2:18" ht="13" x14ac:dyDescent="0.3">
      <c r="B3" s="8" t="str">
        <f>"for CY"&amp;R1&amp;" SPP Network Transmission Service"</f>
        <v>for CY2025 SPP Network Transmission Service</v>
      </c>
      <c r="C3" s="76"/>
      <c r="D3" s="77"/>
      <c r="E3" s="76"/>
      <c r="F3" s="84"/>
      <c r="G3" s="237"/>
      <c r="H3" s="237"/>
      <c r="I3" s="86" t="s">
        <v>10</v>
      </c>
      <c r="J3" s="90">
        <v>0.50085767102457412</v>
      </c>
      <c r="K3" s="90">
        <v>0.24830327934112015</v>
      </c>
      <c r="L3" s="107" t="str">
        <f>"Inv. Jan-Dec'"&amp;RIGHT(R1,2)</f>
        <v>Inv. Jan-Dec'25</v>
      </c>
      <c r="M3" s="89"/>
      <c r="N3"/>
      <c r="O3"/>
      <c r="P3"/>
      <c r="Q3"/>
      <c r="R3" s="95"/>
    </row>
    <row r="4" spans="2:18" ht="13" x14ac:dyDescent="0.3">
      <c r="B4" s="7"/>
      <c r="C4" s="76"/>
      <c r="D4" s="77"/>
      <c r="E4" s="76"/>
      <c r="F4" s="84"/>
      <c r="M4" s="92"/>
      <c r="P4"/>
      <c r="Q4"/>
      <c r="R4" s="95"/>
    </row>
    <row r="5" spans="2:18" ht="13" x14ac:dyDescent="0.3">
      <c r="B5" s="7"/>
      <c r="C5" s="76"/>
      <c r="D5" s="77"/>
      <c r="E5" s="76"/>
      <c r="F5" s="84"/>
      <c r="I5" s="86"/>
      <c r="K5" s="87">
        <v>0</v>
      </c>
      <c r="L5" s="88"/>
      <c r="M5" s="93"/>
      <c r="N5" s="94"/>
      <c r="O5" s="94"/>
      <c r="P5"/>
      <c r="Q5"/>
      <c r="R5" s="95"/>
    </row>
    <row r="6" spans="2:18" ht="13" x14ac:dyDescent="0.3">
      <c r="B6" s="8" t="s">
        <v>23</v>
      </c>
      <c r="D6" s="77"/>
      <c r="E6" s="76"/>
      <c r="F6" s="96"/>
      <c r="G6" s="14"/>
      <c r="H6" s="97"/>
      <c r="I6" s="98"/>
      <c r="J6" s="99"/>
      <c r="K6" s="90">
        <v>0</v>
      </c>
      <c r="L6" s="107"/>
      <c r="M6" s="93"/>
      <c r="N6" s="94"/>
      <c r="O6" s="94"/>
      <c r="P6" s="94"/>
      <c r="Q6" s="94"/>
      <c r="R6" s="95"/>
    </row>
    <row r="7" spans="2:18" ht="13" x14ac:dyDescent="0.3">
      <c r="B7" s="7" t="s">
        <v>79</v>
      </c>
      <c r="D7" s="77"/>
      <c r="E7" s="76"/>
      <c r="F7" s="84"/>
      <c r="G7" s="238"/>
      <c r="H7" s="237"/>
      <c r="I7" s="86"/>
      <c r="J7" s="100"/>
      <c r="K7" s="88"/>
      <c r="L7" s="88"/>
      <c r="M7" s="101"/>
      <c r="N7" s="102"/>
      <c r="O7" s="102"/>
      <c r="P7" s="102"/>
      <c r="Q7" s="102"/>
      <c r="R7" s="95"/>
    </row>
    <row r="8" spans="2:18" ht="13" x14ac:dyDescent="0.3">
      <c r="B8" s="8"/>
      <c r="C8" s="76"/>
      <c r="D8" s="77"/>
      <c r="E8" s="76"/>
      <c r="F8" s="84"/>
      <c r="G8" s="237"/>
      <c r="H8" s="237"/>
      <c r="I8" s="86"/>
      <c r="J8" s="103"/>
      <c r="K8" s="88"/>
      <c r="L8" s="104"/>
      <c r="M8" s="89"/>
      <c r="N8"/>
      <c r="O8"/>
      <c r="P8"/>
      <c r="Q8"/>
      <c r="R8" s="95"/>
    </row>
    <row r="9" spans="2:18" ht="13" x14ac:dyDescent="0.3">
      <c r="B9" s="105"/>
      <c r="C9" s="76"/>
      <c r="D9" s="77"/>
      <c r="E9" s="76"/>
      <c r="F9" s="84"/>
      <c r="I9" s="106"/>
      <c r="L9" s="107"/>
      <c r="M9" s="89"/>
      <c r="N9"/>
      <c r="O9"/>
      <c r="P9"/>
      <c r="Q9"/>
      <c r="R9" s="95"/>
    </row>
    <row r="10" spans="2:18" ht="13.5" thickBot="1" x14ac:dyDescent="0.35">
      <c r="B10" s="7"/>
      <c r="D10"/>
      <c r="E10" s="108"/>
      <c r="F10" s="109"/>
      <c r="G10" s="110"/>
      <c r="H10" s="111"/>
      <c r="I10" s="112"/>
      <c r="J10" s="113"/>
      <c r="K10" s="113"/>
      <c r="L10" s="114"/>
      <c r="M10" s="115"/>
      <c r="R10" s="116"/>
    </row>
    <row r="11" spans="2:18" ht="13" x14ac:dyDescent="0.3">
      <c r="B11" s="117" t="s">
        <v>97</v>
      </c>
      <c r="E11" s="108"/>
      <c r="L11" s="118"/>
      <c r="M11"/>
      <c r="N11"/>
      <c r="O11"/>
      <c r="P11"/>
      <c r="Q11"/>
      <c r="R11" s="95"/>
    </row>
    <row r="12" spans="2:18" x14ac:dyDescent="0.25">
      <c r="E12" s="108"/>
      <c r="J12" s="178"/>
      <c r="L12" s="118"/>
      <c r="R12" s="119" t="s">
        <v>62</v>
      </c>
    </row>
    <row r="13" spans="2:18" ht="13" x14ac:dyDescent="0.3">
      <c r="E13" s="108"/>
      <c r="F13" s="120"/>
      <c r="G13" s="121"/>
      <c r="H13" s="121"/>
      <c r="I13" s="122" t="s">
        <v>60</v>
      </c>
      <c r="J13" s="123">
        <f t="shared" ref="J13:R13" si="0">SUM(J56:J211)</f>
        <v>14075.603128803594</v>
      </c>
      <c r="K13" s="123">
        <f t="shared" si="0"/>
        <v>6978.0670593234918</v>
      </c>
      <c r="L13" s="124">
        <f t="shared" si="0"/>
        <v>7097.536069480112</v>
      </c>
      <c r="M13" s="125">
        <f t="shared" si="0"/>
        <v>508.19398456081399</v>
      </c>
      <c r="N13" s="123">
        <f t="shared" si="0"/>
        <v>7605.7300540409205</v>
      </c>
      <c r="O13" s="123">
        <f t="shared" si="0"/>
        <v>0</v>
      </c>
      <c r="P13" s="123">
        <f t="shared" si="0"/>
        <v>0</v>
      </c>
      <c r="Q13" s="123">
        <f t="shared" si="0"/>
        <v>0</v>
      </c>
      <c r="R13" s="124">
        <f t="shared" si="0"/>
        <v>7605.7300540409205</v>
      </c>
    </row>
    <row r="14" spans="2:18" ht="13" x14ac:dyDescent="0.3">
      <c r="E14" s="108"/>
      <c r="F14" s="126"/>
      <c r="G14" s="126"/>
      <c r="H14" s="126"/>
      <c r="I14" s="127" t="s">
        <v>61</v>
      </c>
      <c r="J14" s="123">
        <f>SUM(J20:J211)</f>
        <v>53027.304204384709</v>
      </c>
      <c r="K14" s="123">
        <f>SUM(K20:K211)</f>
        <v>26288.613093682405</v>
      </c>
      <c r="L14" s="124">
        <f>SUM(L20:L211)</f>
        <v>26738.691110702297</v>
      </c>
      <c r="M14" s="179">
        <v>1914.5294711385613</v>
      </c>
      <c r="N14" s="123">
        <f>SUM(N20:N211)</f>
        <v>28653.220581840873</v>
      </c>
      <c r="O14" s="123">
        <f>SUM(O20:O211)</f>
        <v>0</v>
      </c>
      <c r="P14" s="123">
        <f>SUM(P20:P211)</f>
        <v>0</v>
      </c>
      <c r="Q14" s="123">
        <f>SUM(Q20:Q211)</f>
        <v>0</v>
      </c>
      <c r="R14" s="124">
        <f>SUM(R20:R211)</f>
        <v>28653.220581840873</v>
      </c>
    </row>
    <row r="15" spans="2:18" x14ac:dyDescent="0.25">
      <c r="B15" s="128" t="s">
        <v>84</v>
      </c>
      <c r="E15" s="108"/>
      <c r="J15" s="45"/>
      <c r="L15" s="118"/>
      <c r="M15" s="129"/>
      <c r="N15" s="129"/>
      <c r="O15" s="129"/>
      <c r="P15" s="129"/>
      <c r="Q15" s="129"/>
      <c r="R15" s="130" t="s">
        <v>20</v>
      </c>
    </row>
    <row r="16" spans="2:18" x14ac:dyDescent="0.25">
      <c r="B16" s="131" t="str">
        <f>"** Actual Trued-Up CY"&amp;R1&amp;" Charge reflects "&amp;R1&amp;" True-UP Rate x MW"</f>
        <v>** Actual Trued-Up CY2025 Charge reflects 2025 True-UP Rate x MW</v>
      </c>
      <c r="E16" s="108"/>
      <c r="G16" s="3"/>
      <c r="J16" s="132"/>
      <c r="L16" s="133" t="s">
        <v>11</v>
      </c>
      <c r="M16" s="129"/>
      <c r="N16" s="129"/>
      <c r="O16" s="129"/>
      <c r="P16" s="129"/>
      <c r="Q16" s="129"/>
      <c r="R16" s="134"/>
    </row>
    <row r="17" spans="1:18" x14ac:dyDescent="0.25">
      <c r="B17" s="135" t="s">
        <v>64</v>
      </c>
      <c r="E17" s="108"/>
      <c r="I17" s="136"/>
      <c r="J17" s="137"/>
      <c r="K17" s="136"/>
      <c r="L17" s="136"/>
      <c r="M17" s="136"/>
      <c r="N17" s="136"/>
      <c r="O17" s="136"/>
      <c r="P17" s="136"/>
      <c r="Q17" s="136"/>
      <c r="R17" s="138"/>
    </row>
    <row r="18" spans="1:18" ht="3.65" customHeight="1" x14ac:dyDescent="0.25">
      <c r="I18" s="139"/>
      <c r="J18" s="137"/>
      <c r="K18" s="139"/>
      <c r="L18" s="139"/>
      <c r="M18" s="140"/>
      <c r="N18" s="140"/>
      <c r="O18" s="140"/>
      <c r="P18" s="140"/>
      <c r="Q18" s="140"/>
      <c r="R18" s="141"/>
    </row>
    <row r="19" spans="1:18" ht="38.25" customHeight="1" x14ac:dyDescent="0.25">
      <c r="B19" s="142" t="s">
        <v>55</v>
      </c>
      <c r="C19" s="188" t="s">
        <v>4</v>
      </c>
      <c r="D19" s="188" t="s">
        <v>5</v>
      </c>
      <c r="E19" s="181" t="s">
        <v>0</v>
      </c>
      <c r="F19" s="182" t="s">
        <v>12</v>
      </c>
      <c r="G19" s="183" t="s">
        <v>1</v>
      </c>
      <c r="H19" s="143" t="s">
        <v>50</v>
      </c>
      <c r="I19" s="143" t="s">
        <v>48</v>
      </c>
      <c r="J19" s="144" t="str">
        <f>"True-Up Charge"</f>
        <v>True-Up Charge</v>
      </c>
      <c r="K19" s="144" t="s">
        <v>49</v>
      </c>
      <c r="L19" s="145" t="s">
        <v>3</v>
      </c>
      <c r="M19" s="146" t="s">
        <v>7</v>
      </c>
      <c r="N19" s="147" t="s">
        <v>102</v>
      </c>
      <c r="O19" s="147" t="s">
        <v>86</v>
      </c>
      <c r="P19" s="147" t="s">
        <v>87</v>
      </c>
      <c r="Q19" s="147" t="s">
        <v>88</v>
      </c>
      <c r="R19" s="148" t="s">
        <v>2</v>
      </c>
    </row>
    <row r="20" spans="1:18" ht="12.75" customHeight="1" x14ac:dyDescent="0.25">
      <c r="A20" s="85">
        <v>1</v>
      </c>
      <c r="B20" s="149">
        <f>DATE($R$1,A20,1)</f>
        <v>45658</v>
      </c>
      <c r="C20" s="184">
        <v>45693</v>
      </c>
      <c r="D20" s="184">
        <v>45712</v>
      </c>
      <c r="E20" s="150" t="s">
        <v>21</v>
      </c>
      <c r="F20" s="85">
        <v>9</v>
      </c>
      <c r="G20" s="151">
        <v>2941</v>
      </c>
      <c r="H20" s="152">
        <f>+$K$3</f>
        <v>0.24830327934112015</v>
      </c>
      <c r="I20" s="152">
        <f t="shared" ref="I20:I63" si="1">$J$3</f>
        <v>0.50085767102457412</v>
      </c>
      <c r="J20" s="103">
        <f t="shared" ref="J20:J108" si="2">+$G20*I20</f>
        <v>1473.0224104832726</v>
      </c>
      <c r="K20" s="153">
        <f>+$G20*H20</f>
        <v>730.25994454223439</v>
      </c>
      <c r="L20" s="154">
        <f t="shared" ref="L20:L34" si="3">+J20-K20</f>
        <v>742.76246594103816</v>
      </c>
      <c r="M20" s="103">
        <f>G20/$G$212*$M$14</f>
        <v>53.182881137008579</v>
      </c>
      <c r="N20" s="155">
        <f>SUM(L20:M20)</f>
        <v>795.94534707804678</v>
      </c>
      <c r="O20" s="103">
        <v>0</v>
      </c>
      <c r="P20" s="103">
        <v>0</v>
      </c>
      <c r="Q20" s="103">
        <v>0</v>
      </c>
      <c r="R20" s="155">
        <f>+N20-Q20</f>
        <v>795.94534707804678</v>
      </c>
    </row>
    <row r="21" spans="1:18" x14ac:dyDescent="0.25">
      <c r="A21" s="85">
        <v>2</v>
      </c>
      <c r="B21" s="149">
        <f t="shared" ref="B21:B108" si="4">DATE($R$1,A21,1)</f>
        <v>45689</v>
      </c>
      <c r="C21" s="184">
        <v>45721</v>
      </c>
      <c r="D21" s="184">
        <v>45740</v>
      </c>
      <c r="E21" s="156" t="s">
        <v>21</v>
      </c>
      <c r="F21" s="85">
        <v>9</v>
      </c>
      <c r="G21" s="151">
        <v>3221</v>
      </c>
      <c r="H21" s="152">
        <f t="shared" ref="H21:H84" si="5">+$K$3</f>
        <v>0.24830327934112015</v>
      </c>
      <c r="I21" s="152">
        <f t="shared" si="1"/>
        <v>0.50085767102457412</v>
      </c>
      <c r="J21" s="103">
        <f t="shared" si="2"/>
        <v>1613.2625583701533</v>
      </c>
      <c r="K21" s="153">
        <f t="shared" ref="K21:K33" si="6">+$G21*H21</f>
        <v>799.78486275774799</v>
      </c>
      <c r="L21" s="154">
        <f t="shared" si="3"/>
        <v>813.47769561240534</v>
      </c>
      <c r="M21" s="103">
        <f t="shared" ref="M21:M84" si="7">G21/$G$212*$M$14</f>
        <v>58.24619522009678</v>
      </c>
      <c r="N21" s="155">
        <f t="shared" ref="N21:N84" si="8">SUM(L21:M21)</f>
        <v>871.72389083250209</v>
      </c>
      <c r="O21" s="103">
        <v>0</v>
      </c>
      <c r="P21" s="103">
        <v>0</v>
      </c>
      <c r="Q21" s="103">
        <v>0</v>
      </c>
      <c r="R21" s="155">
        <f t="shared" ref="R21:R84" si="9">+N21-Q21</f>
        <v>871.72389083250209</v>
      </c>
    </row>
    <row r="22" spans="1:18" x14ac:dyDescent="0.25">
      <c r="A22" s="85">
        <v>3</v>
      </c>
      <c r="B22" s="149">
        <f t="shared" si="4"/>
        <v>45717</v>
      </c>
      <c r="C22" s="184">
        <v>45750</v>
      </c>
      <c r="D22" s="184">
        <v>45771</v>
      </c>
      <c r="E22" s="156" t="s">
        <v>21</v>
      </c>
      <c r="F22" s="85">
        <v>9</v>
      </c>
      <c r="G22" s="151">
        <v>2419</v>
      </c>
      <c r="H22" s="152">
        <f t="shared" si="5"/>
        <v>0.24830327934112015</v>
      </c>
      <c r="I22" s="152">
        <f t="shared" si="1"/>
        <v>0.50085767102457412</v>
      </c>
      <c r="J22" s="103">
        <f t="shared" si="2"/>
        <v>1211.5747062084447</v>
      </c>
      <c r="K22" s="153">
        <f t="shared" si="6"/>
        <v>600.64563272616965</v>
      </c>
      <c r="L22" s="154">
        <f t="shared" si="3"/>
        <v>610.92907348227504</v>
      </c>
      <c r="M22" s="103">
        <f t="shared" si="7"/>
        <v>43.743417024965574</v>
      </c>
      <c r="N22" s="155">
        <f t="shared" si="8"/>
        <v>654.67249050724058</v>
      </c>
      <c r="O22" s="103">
        <v>0</v>
      </c>
      <c r="P22" s="103">
        <v>0</v>
      </c>
      <c r="Q22" s="103">
        <v>0</v>
      </c>
      <c r="R22" s="155">
        <f t="shared" si="9"/>
        <v>654.67249050724058</v>
      </c>
    </row>
    <row r="23" spans="1:18" x14ac:dyDescent="0.25">
      <c r="A23" s="85">
        <v>4</v>
      </c>
      <c r="B23" s="149">
        <f t="shared" si="4"/>
        <v>45748</v>
      </c>
      <c r="C23" s="184">
        <v>45782</v>
      </c>
      <c r="D23" s="184">
        <v>45803</v>
      </c>
      <c r="E23" s="156" t="s">
        <v>21</v>
      </c>
      <c r="F23" s="85">
        <v>9</v>
      </c>
      <c r="G23" s="151">
        <v>2717</v>
      </c>
      <c r="H23" s="152">
        <f t="shared" si="5"/>
        <v>0.24830327934112015</v>
      </c>
      <c r="I23" s="152">
        <f t="shared" si="1"/>
        <v>0.50085767102457412</v>
      </c>
      <c r="J23" s="103">
        <f t="shared" si="2"/>
        <v>1360.8302921737679</v>
      </c>
      <c r="K23" s="153">
        <f t="shared" si="6"/>
        <v>674.6400099698235</v>
      </c>
      <c r="L23" s="154">
        <f t="shared" si="3"/>
        <v>686.19028220394443</v>
      </c>
      <c r="M23" s="103">
        <f t="shared" si="7"/>
        <v>49.132229870538012</v>
      </c>
      <c r="N23" s="155">
        <f t="shared" si="8"/>
        <v>735.32251207448246</v>
      </c>
      <c r="O23" s="103">
        <v>0</v>
      </c>
      <c r="P23" s="103">
        <v>0</v>
      </c>
      <c r="Q23" s="103">
        <v>0</v>
      </c>
      <c r="R23" s="155">
        <f t="shared" si="9"/>
        <v>735.32251207448246</v>
      </c>
    </row>
    <row r="24" spans="1:18" ht="12" customHeight="1" x14ac:dyDescent="0.25">
      <c r="A24" s="85">
        <v>5</v>
      </c>
      <c r="B24" s="149">
        <f t="shared" si="4"/>
        <v>45778</v>
      </c>
      <c r="C24" s="184">
        <v>45812</v>
      </c>
      <c r="D24" s="184">
        <v>45832</v>
      </c>
      <c r="E24" s="1" t="s">
        <v>21</v>
      </c>
      <c r="F24" s="85">
        <v>9</v>
      </c>
      <c r="G24" s="151">
        <v>3378</v>
      </c>
      <c r="H24" s="152">
        <f t="shared" si="5"/>
        <v>0.24830327934112015</v>
      </c>
      <c r="I24" s="152">
        <f t="shared" si="1"/>
        <v>0.50085767102457412</v>
      </c>
      <c r="J24" s="103">
        <f t="shared" si="2"/>
        <v>1691.8972127210113</v>
      </c>
      <c r="K24" s="153">
        <f t="shared" si="6"/>
        <v>838.76847761430383</v>
      </c>
      <c r="L24" s="154">
        <f t="shared" si="3"/>
        <v>853.1287351067075</v>
      </c>
      <c r="M24" s="103">
        <f t="shared" si="7"/>
        <v>61.08526775954266</v>
      </c>
      <c r="N24" s="155">
        <f t="shared" si="8"/>
        <v>914.21400286625021</v>
      </c>
      <c r="O24" s="103">
        <v>0</v>
      </c>
      <c r="P24" s="103">
        <v>0</v>
      </c>
      <c r="Q24" s="103">
        <v>0</v>
      </c>
      <c r="R24" s="155">
        <f t="shared" si="9"/>
        <v>914.21400286625021</v>
      </c>
    </row>
    <row r="25" spans="1:18" x14ac:dyDescent="0.25">
      <c r="A25" s="85">
        <v>6</v>
      </c>
      <c r="B25" s="149">
        <f t="shared" si="4"/>
        <v>45809</v>
      </c>
      <c r="C25" s="184">
        <v>45841</v>
      </c>
      <c r="D25" s="184">
        <v>45862</v>
      </c>
      <c r="E25" s="1" t="s">
        <v>21</v>
      </c>
      <c r="F25" s="85">
        <v>9</v>
      </c>
      <c r="G25" s="151">
        <v>3824</v>
      </c>
      <c r="H25" s="152">
        <f t="shared" si="5"/>
        <v>0.24830327934112015</v>
      </c>
      <c r="I25" s="152">
        <f t="shared" si="1"/>
        <v>0.50085767102457412</v>
      </c>
      <c r="J25" s="103">
        <f t="shared" si="2"/>
        <v>1915.2797339979716</v>
      </c>
      <c r="K25" s="153">
        <f t="shared" si="6"/>
        <v>949.51174020044346</v>
      </c>
      <c r="L25" s="154">
        <f t="shared" si="3"/>
        <v>965.76799379752811</v>
      </c>
      <c r="M25" s="103">
        <f t="shared" si="7"/>
        <v>69.150403763318863</v>
      </c>
      <c r="N25" s="155">
        <f t="shared" si="8"/>
        <v>1034.9183975608469</v>
      </c>
      <c r="O25" s="103">
        <v>0</v>
      </c>
      <c r="P25" s="103">
        <v>0</v>
      </c>
      <c r="Q25" s="103">
        <v>0</v>
      </c>
      <c r="R25" s="155">
        <f t="shared" si="9"/>
        <v>1034.9183975608469</v>
      </c>
    </row>
    <row r="26" spans="1:18" x14ac:dyDescent="0.25">
      <c r="A26" s="85">
        <v>7</v>
      </c>
      <c r="B26" s="149">
        <f t="shared" si="4"/>
        <v>45839</v>
      </c>
      <c r="C26" s="184">
        <v>45874</v>
      </c>
      <c r="D26" s="184">
        <v>45894</v>
      </c>
      <c r="E26" s="1" t="s">
        <v>21</v>
      </c>
      <c r="F26" s="85">
        <v>9</v>
      </c>
      <c r="G26" s="151">
        <v>4110</v>
      </c>
      <c r="H26" s="152">
        <f t="shared" si="5"/>
        <v>0.24830327934112015</v>
      </c>
      <c r="I26" s="152">
        <f t="shared" si="1"/>
        <v>0.50085767102457412</v>
      </c>
      <c r="J26" s="103">
        <f t="shared" si="2"/>
        <v>2058.5250279109996</v>
      </c>
      <c r="K26" s="153">
        <f t="shared" si="6"/>
        <v>1020.5264780920038</v>
      </c>
      <c r="L26" s="154">
        <f t="shared" si="3"/>
        <v>1037.9985498189958</v>
      </c>
      <c r="M26" s="103">
        <f t="shared" si="7"/>
        <v>74.322217433901812</v>
      </c>
      <c r="N26" s="155">
        <f t="shared" si="8"/>
        <v>1112.3207672528977</v>
      </c>
      <c r="O26" s="103">
        <v>0</v>
      </c>
      <c r="P26" s="103">
        <v>0</v>
      </c>
      <c r="Q26" s="103">
        <v>0</v>
      </c>
      <c r="R26" s="155">
        <f t="shared" si="9"/>
        <v>1112.3207672528977</v>
      </c>
    </row>
    <row r="27" spans="1:18" x14ac:dyDescent="0.25">
      <c r="A27" s="85">
        <v>8</v>
      </c>
      <c r="B27" s="149">
        <f t="shared" si="4"/>
        <v>45870</v>
      </c>
      <c r="C27" s="184">
        <v>45904</v>
      </c>
      <c r="D27" s="184">
        <v>45924</v>
      </c>
      <c r="E27" s="1" t="s">
        <v>21</v>
      </c>
      <c r="F27" s="85">
        <v>9</v>
      </c>
      <c r="G27" s="151">
        <v>4096</v>
      </c>
      <c r="H27" s="152">
        <f t="shared" si="5"/>
        <v>0.24830327934112015</v>
      </c>
      <c r="I27" s="152">
        <f t="shared" si="1"/>
        <v>0.50085767102457412</v>
      </c>
      <c r="J27" s="103">
        <f t="shared" si="2"/>
        <v>2051.5130205166556</v>
      </c>
      <c r="K27" s="153">
        <f t="shared" si="6"/>
        <v>1017.0502321812281</v>
      </c>
      <c r="L27" s="154">
        <f t="shared" si="3"/>
        <v>1034.4627883354274</v>
      </c>
      <c r="M27" s="103">
        <f t="shared" si="7"/>
        <v>74.0690517297474</v>
      </c>
      <c r="N27" s="155">
        <f t="shared" si="8"/>
        <v>1108.5318400651747</v>
      </c>
      <c r="O27" s="103">
        <v>0</v>
      </c>
      <c r="P27" s="103">
        <v>0</v>
      </c>
      <c r="Q27" s="103">
        <v>0</v>
      </c>
      <c r="R27" s="155">
        <f t="shared" si="9"/>
        <v>1108.5318400651747</v>
      </c>
    </row>
    <row r="28" spans="1:18" x14ac:dyDescent="0.25">
      <c r="A28" s="85">
        <v>9</v>
      </c>
      <c r="B28" s="149">
        <f t="shared" si="4"/>
        <v>45901</v>
      </c>
      <c r="C28" s="184">
        <v>45933</v>
      </c>
      <c r="D28" s="184">
        <v>45954</v>
      </c>
      <c r="E28" s="1" t="s">
        <v>21</v>
      </c>
      <c r="F28" s="85">
        <v>9</v>
      </c>
      <c r="G28" s="151">
        <v>3657</v>
      </c>
      <c r="H28" s="152">
        <f t="shared" si="5"/>
        <v>0.24830327934112015</v>
      </c>
      <c r="I28" s="152">
        <f t="shared" si="1"/>
        <v>0.50085767102457412</v>
      </c>
      <c r="J28" s="103">
        <f t="shared" si="2"/>
        <v>1831.6365029368676</v>
      </c>
      <c r="K28" s="153">
        <f t="shared" si="6"/>
        <v>908.0450925504764</v>
      </c>
      <c r="L28" s="154">
        <f t="shared" si="3"/>
        <v>923.5914103863912</v>
      </c>
      <c r="M28" s="103">
        <f t="shared" si="7"/>
        <v>66.130498578048403</v>
      </c>
      <c r="N28" s="155">
        <f t="shared" si="8"/>
        <v>989.72190896443965</v>
      </c>
      <c r="O28" s="103">
        <v>0</v>
      </c>
      <c r="P28" s="103">
        <v>0</v>
      </c>
      <c r="Q28" s="103">
        <v>0</v>
      </c>
      <c r="R28" s="155">
        <f t="shared" si="9"/>
        <v>989.72190896443965</v>
      </c>
    </row>
    <row r="29" spans="1:18" x14ac:dyDescent="0.25">
      <c r="A29" s="85">
        <v>10</v>
      </c>
      <c r="B29" s="149">
        <f t="shared" si="4"/>
        <v>45931</v>
      </c>
      <c r="C29" s="184">
        <v>45966</v>
      </c>
      <c r="D29" s="184">
        <v>45985</v>
      </c>
      <c r="E29" s="1" t="s">
        <v>21</v>
      </c>
      <c r="F29" s="85">
        <v>9</v>
      </c>
      <c r="G29" s="151">
        <v>3261</v>
      </c>
      <c r="H29" s="152">
        <f t="shared" si="5"/>
        <v>0.24830327934112015</v>
      </c>
      <c r="I29" s="152">
        <f t="shared" si="1"/>
        <v>0.50085767102457412</v>
      </c>
      <c r="J29" s="103">
        <f t="shared" si="2"/>
        <v>1633.2968652111363</v>
      </c>
      <c r="K29" s="153">
        <f t="shared" si="6"/>
        <v>809.71699393139284</v>
      </c>
      <c r="L29" s="154">
        <f t="shared" si="3"/>
        <v>823.57987127974343</v>
      </c>
      <c r="M29" s="103">
        <f t="shared" si="7"/>
        <v>58.969525803395094</v>
      </c>
      <c r="N29" s="155">
        <f t="shared" si="8"/>
        <v>882.5493970831385</v>
      </c>
      <c r="O29" s="103">
        <v>0</v>
      </c>
      <c r="P29" s="103">
        <v>0</v>
      </c>
      <c r="Q29" s="103">
        <v>0</v>
      </c>
      <c r="R29" s="155">
        <f t="shared" si="9"/>
        <v>882.5493970831385</v>
      </c>
    </row>
    <row r="30" spans="1:18" x14ac:dyDescent="0.25">
      <c r="A30" s="85">
        <v>11</v>
      </c>
      <c r="B30" s="149">
        <f t="shared" si="4"/>
        <v>45962</v>
      </c>
      <c r="C30" s="184">
        <v>45994</v>
      </c>
      <c r="D30" s="184">
        <v>46015</v>
      </c>
      <c r="E30" s="1" t="s">
        <v>21</v>
      </c>
      <c r="F30" s="85">
        <v>9</v>
      </c>
      <c r="G30" s="151">
        <v>2449</v>
      </c>
      <c r="H30" s="152">
        <f t="shared" si="5"/>
        <v>0.24830327934112015</v>
      </c>
      <c r="I30" s="152">
        <f t="shared" si="1"/>
        <v>0.50085767102457412</v>
      </c>
      <c r="J30" s="103">
        <f t="shared" si="2"/>
        <v>1226.6004363391821</v>
      </c>
      <c r="K30" s="153">
        <f t="shared" si="6"/>
        <v>608.09473110640329</v>
      </c>
      <c r="L30" s="154">
        <f t="shared" si="3"/>
        <v>618.50570523277884</v>
      </c>
      <c r="M30" s="103">
        <f t="shared" si="7"/>
        <v>44.285914962439307</v>
      </c>
      <c r="N30" s="155">
        <f t="shared" si="8"/>
        <v>662.79162019521812</v>
      </c>
      <c r="O30" s="103">
        <v>0</v>
      </c>
      <c r="P30" s="103">
        <v>0</v>
      </c>
      <c r="Q30" s="103">
        <v>0</v>
      </c>
      <c r="R30" s="155">
        <f t="shared" si="9"/>
        <v>662.79162019521812</v>
      </c>
    </row>
    <row r="31" spans="1:18" x14ac:dyDescent="0.25">
      <c r="A31" s="85">
        <v>12</v>
      </c>
      <c r="B31" s="149">
        <f t="shared" si="4"/>
        <v>45992</v>
      </c>
      <c r="C31" s="185">
        <v>46028</v>
      </c>
      <c r="D31" s="186">
        <v>46048</v>
      </c>
      <c r="E31" s="1" t="s">
        <v>21</v>
      </c>
      <c r="F31" s="85">
        <v>9</v>
      </c>
      <c r="G31" s="207">
        <v>2817</v>
      </c>
      <c r="H31" s="157">
        <f t="shared" si="5"/>
        <v>0.24830327934112015</v>
      </c>
      <c r="I31" s="157">
        <f t="shared" si="1"/>
        <v>0.50085767102457412</v>
      </c>
      <c r="J31" s="158">
        <f t="shared" si="2"/>
        <v>1410.9160592762253</v>
      </c>
      <c r="K31" s="159">
        <f t="shared" si="6"/>
        <v>699.4703379039355</v>
      </c>
      <c r="L31" s="160">
        <f t="shared" si="3"/>
        <v>711.44572137228977</v>
      </c>
      <c r="M31" s="158">
        <f t="shared" si="7"/>
        <v>50.940556328783799</v>
      </c>
      <c r="N31" s="208">
        <f t="shared" si="8"/>
        <v>762.3862777010736</v>
      </c>
      <c r="O31" s="158">
        <v>0</v>
      </c>
      <c r="P31" s="158">
        <v>0</v>
      </c>
      <c r="Q31" s="158">
        <v>0</v>
      </c>
      <c r="R31" s="208">
        <f t="shared" si="9"/>
        <v>762.3862777010736</v>
      </c>
    </row>
    <row r="32" spans="1:18" x14ac:dyDescent="0.25">
      <c r="A32" s="85">
        <v>1</v>
      </c>
      <c r="B32" s="161">
        <f t="shared" si="4"/>
        <v>45658</v>
      </c>
      <c r="C32" s="162">
        <f t="shared" ref="C32:D43" si="10">+C20</f>
        <v>45693</v>
      </c>
      <c r="D32" s="162">
        <f t="shared" si="10"/>
        <v>45712</v>
      </c>
      <c r="E32" s="163" t="s">
        <v>22</v>
      </c>
      <c r="F32" s="164">
        <v>9</v>
      </c>
      <c r="G32" s="151">
        <v>3414</v>
      </c>
      <c r="H32" s="152">
        <f t="shared" si="5"/>
        <v>0.24830327934112015</v>
      </c>
      <c r="I32" s="152">
        <f t="shared" si="1"/>
        <v>0.50085767102457412</v>
      </c>
      <c r="J32" s="103">
        <f t="shared" si="2"/>
        <v>1709.928088877896</v>
      </c>
      <c r="K32" s="153">
        <f t="shared" si="6"/>
        <v>847.70739567058422</v>
      </c>
      <c r="L32" s="154">
        <f t="shared" si="3"/>
        <v>862.2206932073118</v>
      </c>
      <c r="M32" s="103">
        <f t="shared" si="7"/>
        <v>61.736265284511148</v>
      </c>
      <c r="N32" s="155">
        <f t="shared" si="8"/>
        <v>923.95695849182289</v>
      </c>
      <c r="O32" s="103">
        <v>0</v>
      </c>
      <c r="P32" s="103">
        <v>0</v>
      </c>
      <c r="Q32" s="103">
        <v>0</v>
      </c>
      <c r="R32" s="155">
        <f t="shared" si="9"/>
        <v>923.95695849182289</v>
      </c>
    </row>
    <row r="33" spans="1:18" x14ac:dyDescent="0.25">
      <c r="A33" s="85">
        <v>2</v>
      </c>
      <c r="B33" s="149">
        <f t="shared" si="4"/>
        <v>45689</v>
      </c>
      <c r="C33" s="165">
        <f t="shared" si="10"/>
        <v>45721</v>
      </c>
      <c r="D33" s="165">
        <f t="shared" si="10"/>
        <v>45740</v>
      </c>
      <c r="E33" s="156" t="s">
        <v>22</v>
      </c>
      <c r="F33" s="85">
        <v>9</v>
      </c>
      <c r="G33" s="151">
        <v>3330</v>
      </c>
      <c r="H33" s="152">
        <f t="shared" si="5"/>
        <v>0.24830327934112015</v>
      </c>
      <c r="I33" s="152">
        <f t="shared" si="1"/>
        <v>0.50085767102457412</v>
      </c>
      <c r="J33" s="103">
        <f t="shared" si="2"/>
        <v>1667.8560445118319</v>
      </c>
      <c r="K33" s="153">
        <f t="shared" si="6"/>
        <v>826.84992020593006</v>
      </c>
      <c r="L33" s="154">
        <f t="shared" si="3"/>
        <v>841.00612430590184</v>
      </c>
      <c r="M33" s="103">
        <f t="shared" si="7"/>
        <v>60.217271059584682</v>
      </c>
      <c r="N33" s="155">
        <f t="shared" si="8"/>
        <v>901.22339536548657</v>
      </c>
      <c r="O33" s="103">
        <v>0</v>
      </c>
      <c r="P33" s="103">
        <v>0</v>
      </c>
      <c r="Q33" s="103">
        <v>0</v>
      </c>
      <c r="R33" s="155">
        <f t="shared" si="9"/>
        <v>901.22339536548657</v>
      </c>
    </row>
    <row r="34" spans="1:18" x14ac:dyDescent="0.25">
      <c r="A34" s="85">
        <v>3</v>
      </c>
      <c r="B34" s="149">
        <f t="shared" si="4"/>
        <v>45717</v>
      </c>
      <c r="C34" s="165">
        <f t="shared" si="10"/>
        <v>45750</v>
      </c>
      <c r="D34" s="165">
        <f t="shared" si="10"/>
        <v>45771</v>
      </c>
      <c r="E34" s="156" t="s">
        <v>22</v>
      </c>
      <c r="F34" s="85">
        <v>9</v>
      </c>
      <c r="G34" s="151">
        <v>2483</v>
      </c>
      <c r="H34" s="152">
        <f t="shared" si="5"/>
        <v>0.24830327934112015</v>
      </c>
      <c r="I34" s="152">
        <f t="shared" si="1"/>
        <v>0.50085767102457412</v>
      </c>
      <c r="J34" s="103">
        <f t="shared" si="2"/>
        <v>1243.6295971540176</v>
      </c>
      <c r="K34" s="153">
        <f t="shared" ref="K34:K93" si="11">+$G34*H34</f>
        <v>616.53704260400127</v>
      </c>
      <c r="L34" s="154">
        <f t="shared" si="3"/>
        <v>627.0925545500163</v>
      </c>
      <c r="M34" s="103">
        <f t="shared" si="7"/>
        <v>44.900745958242872</v>
      </c>
      <c r="N34" s="155">
        <f t="shared" si="8"/>
        <v>671.99330050825915</v>
      </c>
      <c r="O34" s="103">
        <v>0</v>
      </c>
      <c r="P34" s="103">
        <v>0</v>
      </c>
      <c r="Q34" s="103">
        <v>0</v>
      </c>
      <c r="R34" s="155">
        <f t="shared" si="9"/>
        <v>671.99330050825915</v>
      </c>
    </row>
    <row r="35" spans="1:18" x14ac:dyDescent="0.25">
      <c r="A35" s="85">
        <v>4</v>
      </c>
      <c r="B35" s="149">
        <f t="shared" si="4"/>
        <v>45748</v>
      </c>
      <c r="C35" s="165">
        <f t="shared" si="10"/>
        <v>45782</v>
      </c>
      <c r="D35" s="165">
        <f t="shared" si="10"/>
        <v>45803</v>
      </c>
      <c r="E35" s="156" t="s">
        <v>22</v>
      </c>
      <c r="F35" s="85">
        <v>9</v>
      </c>
      <c r="G35" s="151">
        <v>2549</v>
      </c>
      <c r="H35" s="152">
        <f t="shared" si="5"/>
        <v>0.24830327934112015</v>
      </c>
      <c r="I35" s="152">
        <f t="shared" si="1"/>
        <v>0.50085767102457412</v>
      </c>
      <c r="J35" s="103">
        <f t="shared" si="2"/>
        <v>1276.6862034416395</v>
      </c>
      <c r="K35" s="153">
        <f t="shared" si="11"/>
        <v>632.92505904051529</v>
      </c>
      <c r="L35" s="154">
        <f t="shared" ref="L35:L57" si="12">+J35-K35</f>
        <v>643.76114440112417</v>
      </c>
      <c r="M35" s="103">
        <f t="shared" si="7"/>
        <v>46.094241420685094</v>
      </c>
      <c r="N35" s="155">
        <f t="shared" si="8"/>
        <v>689.85538582180925</v>
      </c>
      <c r="O35" s="103">
        <v>0</v>
      </c>
      <c r="P35" s="103">
        <v>0</v>
      </c>
      <c r="Q35" s="103">
        <v>0</v>
      </c>
      <c r="R35" s="155">
        <f t="shared" si="9"/>
        <v>689.85538582180925</v>
      </c>
    </row>
    <row r="36" spans="1:18" x14ac:dyDescent="0.25">
      <c r="A36" s="85">
        <v>5</v>
      </c>
      <c r="B36" s="149">
        <f t="shared" si="4"/>
        <v>45778</v>
      </c>
      <c r="C36" s="165">
        <f t="shared" si="10"/>
        <v>45812</v>
      </c>
      <c r="D36" s="165">
        <f t="shared" si="10"/>
        <v>45832</v>
      </c>
      <c r="E36" s="1" t="s">
        <v>22</v>
      </c>
      <c r="F36" s="85">
        <v>9</v>
      </c>
      <c r="G36" s="151">
        <v>3007</v>
      </c>
      <c r="H36" s="152">
        <f t="shared" si="5"/>
        <v>0.24830327934112015</v>
      </c>
      <c r="I36" s="152">
        <f t="shared" si="1"/>
        <v>0.50085767102457412</v>
      </c>
      <c r="J36" s="103">
        <f t="shared" si="2"/>
        <v>1506.0790167708944</v>
      </c>
      <c r="K36" s="153">
        <f t="shared" si="11"/>
        <v>746.6479609787483</v>
      </c>
      <c r="L36" s="154">
        <f t="shared" si="12"/>
        <v>759.43105579214614</v>
      </c>
      <c r="M36" s="103">
        <f t="shared" si="7"/>
        <v>54.376376599450793</v>
      </c>
      <c r="N36" s="155">
        <f t="shared" si="8"/>
        <v>813.80743239159688</v>
      </c>
      <c r="O36" s="103">
        <v>0</v>
      </c>
      <c r="P36" s="103">
        <v>0</v>
      </c>
      <c r="Q36" s="103">
        <v>0</v>
      </c>
      <c r="R36" s="155">
        <f t="shared" si="9"/>
        <v>813.80743239159688</v>
      </c>
    </row>
    <row r="37" spans="1:18" x14ac:dyDescent="0.25">
      <c r="A37" s="85">
        <v>6</v>
      </c>
      <c r="B37" s="149">
        <f t="shared" si="4"/>
        <v>45809</v>
      </c>
      <c r="C37" s="165">
        <f t="shared" si="10"/>
        <v>45841</v>
      </c>
      <c r="D37" s="165">
        <f t="shared" si="10"/>
        <v>45862</v>
      </c>
      <c r="E37" s="1" t="s">
        <v>22</v>
      </c>
      <c r="F37" s="85">
        <v>9</v>
      </c>
      <c r="G37" s="151">
        <v>3377</v>
      </c>
      <c r="H37" s="152">
        <f t="shared" si="5"/>
        <v>0.24830327934112015</v>
      </c>
      <c r="I37" s="152">
        <f t="shared" si="1"/>
        <v>0.50085767102457412</v>
      </c>
      <c r="J37" s="103">
        <f t="shared" si="2"/>
        <v>1691.3963550499868</v>
      </c>
      <c r="K37" s="153">
        <f t="shared" si="11"/>
        <v>838.52017433496269</v>
      </c>
      <c r="L37" s="154">
        <f t="shared" si="12"/>
        <v>852.87618071502413</v>
      </c>
      <c r="M37" s="103">
        <f t="shared" si="7"/>
        <v>61.067184494960202</v>
      </c>
      <c r="N37" s="155">
        <f t="shared" si="8"/>
        <v>913.94336520998434</v>
      </c>
      <c r="O37" s="103">
        <v>0</v>
      </c>
      <c r="P37" s="103">
        <v>0</v>
      </c>
      <c r="Q37" s="103">
        <v>0</v>
      </c>
      <c r="R37" s="155">
        <f t="shared" si="9"/>
        <v>913.94336520998434</v>
      </c>
    </row>
    <row r="38" spans="1:18" x14ac:dyDescent="0.25">
      <c r="A38" s="85">
        <v>7</v>
      </c>
      <c r="B38" s="149">
        <f t="shared" si="4"/>
        <v>45839</v>
      </c>
      <c r="C38" s="165">
        <f t="shared" si="10"/>
        <v>45874</v>
      </c>
      <c r="D38" s="165">
        <f t="shared" si="10"/>
        <v>45894</v>
      </c>
      <c r="E38" s="1" t="s">
        <v>22</v>
      </c>
      <c r="F38" s="85">
        <v>9</v>
      </c>
      <c r="G38" s="151">
        <v>3723</v>
      </c>
      <c r="H38" s="152">
        <f t="shared" si="5"/>
        <v>0.24830327934112015</v>
      </c>
      <c r="I38" s="152">
        <f t="shared" si="1"/>
        <v>0.50085767102457412</v>
      </c>
      <c r="J38" s="103">
        <f t="shared" si="2"/>
        <v>1864.6931092244895</v>
      </c>
      <c r="K38" s="153">
        <f t="shared" si="11"/>
        <v>924.43310898699031</v>
      </c>
      <c r="L38" s="154">
        <f t="shared" si="12"/>
        <v>940.26000023749918</v>
      </c>
      <c r="M38" s="103">
        <f t="shared" si="7"/>
        <v>67.323994040490632</v>
      </c>
      <c r="N38" s="155">
        <f t="shared" si="8"/>
        <v>1007.5839942779899</v>
      </c>
      <c r="O38" s="103">
        <v>0</v>
      </c>
      <c r="P38" s="103">
        <v>0</v>
      </c>
      <c r="Q38" s="103">
        <v>0</v>
      </c>
      <c r="R38" s="155">
        <f t="shared" si="9"/>
        <v>1007.5839942779899</v>
      </c>
    </row>
    <row r="39" spans="1:18" x14ac:dyDescent="0.25">
      <c r="A39" s="85">
        <v>8</v>
      </c>
      <c r="B39" s="149">
        <f t="shared" si="4"/>
        <v>45870</v>
      </c>
      <c r="C39" s="165">
        <f t="shared" si="10"/>
        <v>45904</v>
      </c>
      <c r="D39" s="165">
        <f t="shared" si="10"/>
        <v>45924</v>
      </c>
      <c r="E39" s="1" t="s">
        <v>22</v>
      </c>
      <c r="F39" s="85">
        <v>9</v>
      </c>
      <c r="G39" s="151">
        <v>3715</v>
      </c>
      <c r="H39" s="152">
        <f t="shared" si="5"/>
        <v>0.24830327934112015</v>
      </c>
      <c r="I39" s="152">
        <f t="shared" si="1"/>
        <v>0.50085767102457412</v>
      </c>
      <c r="J39" s="103">
        <f t="shared" si="2"/>
        <v>1860.6862478562928</v>
      </c>
      <c r="K39" s="153">
        <f t="shared" si="11"/>
        <v>922.44668275226138</v>
      </c>
      <c r="L39" s="154">
        <f t="shared" si="12"/>
        <v>938.23956510403139</v>
      </c>
      <c r="M39" s="103">
        <f t="shared" si="7"/>
        <v>67.179327923830968</v>
      </c>
      <c r="N39" s="155">
        <f t="shared" si="8"/>
        <v>1005.4188930278624</v>
      </c>
      <c r="O39" s="103">
        <v>0</v>
      </c>
      <c r="P39" s="103">
        <v>0</v>
      </c>
      <c r="Q39" s="103">
        <v>0</v>
      </c>
      <c r="R39" s="155">
        <f t="shared" si="9"/>
        <v>1005.4188930278624</v>
      </c>
    </row>
    <row r="40" spans="1:18" x14ac:dyDescent="0.25">
      <c r="A40" s="85">
        <v>9</v>
      </c>
      <c r="B40" s="149">
        <f t="shared" si="4"/>
        <v>45901</v>
      </c>
      <c r="C40" s="165">
        <f t="shared" si="10"/>
        <v>45933</v>
      </c>
      <c r="D40" s="165">
        <f t="shared" si="10"/>
        <v>45954</v>
      </c>
      <c r="E40" s="1" t="s">
        <v>22</v>
      </c>
      <c r="F40" s="85">
        <v>9</v>
      </c>
      <c r="G40" s="151">
        <v>3256</v>
      </c>
      <c r="H40" s="152">
        <f t="shared" si="5"/>
        <v>0.24830327934112015</v>
      </c>
      <c r="I40" s="152">
        <f t="shared" si="1"/>
        <v>0.50085767102457412</v>
      </c>
      <c r="J40" s="103">
        <f t="shared" si="2"/>
        <v>1630.7925768560133</v>
      </c>
      <c r="K40" s="153">
        <f t="shared" si="11"/>
        <v>808.47547753468723</v>
      </c>
      <c r="L40" s="154">
        <f t="shared" si="12"/>
        <v>822.31709932132605</v>
      </c>
      <c r="M40" s="103">
        <f t="shared" si="7"/>
        <v>58.879109480482803</v>
      </c>
      <c r="N40" s="155">
        <f t="shared" si="8"/>
        <v>881.19620880180889</v>
      </c>
      <c r="O40" s="103">
        <v>0</v>
      </c>
      <c r="P40" s="103">
        <v>0</v>
      </c>
      <c r="Q40" s="103">
        <v>0</v>
      </c>
      <c r="R40" s="155">
        <f t="shared" si="9"/>
        <v>881.19620880180889</v>
      </c>
    </row>
    <row r="41" spans="1:18" x14ac:dyDescent="0.25">
      <c r="A41" s="85">
        <v>10</v>
      </c>
      <c r="B41" s="149">
        <f t="shared" si="4"/>
        <v>45931</v>
      </c>
      <c r="C41" s="165">
        <f t="shared" si="10"/>
        <v>45966</v>
      </c>
      <c r="D41" s="165">
        <f t="shared" si="10"/>
        <v>45985</v>
      </c>
      <c r="E41" s="1" t="s">
        <v>22</v>
      </c>
      <c r="F41" s="85">
        <v>9</v>
      </c>
      <c r="G41" s="151">
        <v>3014</v>
      </c>
      <c r="H41" s="152">
        <f t="shared" si="5"/>
        <v>0.24830327934112015</v>
      </c>
      <c r="I41" s="152">
        <f t="shared" si="1"/>
        <v>0.50085767102457412</v>
      </c>
      <c r="J41" s="103">
        <f t="shared" si="2"/>
        <v>1509.5850204680664</v>
      </c>
      <c r="K41" s="153">
        <f t="shared" si="11"/>
        <v>748.38608393413608</v>
      </c>
      <c r="L41" s="154">
        <f t="shared" si="12"/>
        <v>761.19893653393035</v>
      </c>
      <c r="M41" s="103">
        <f t="shared" si="7"/>
        <v>54.502959451528</v>
      </c>
      <c r="N41" s="155">
        <f t="shared" si="8"/>
        <v>815.70189598545835</v>
      </c>
      <c r="O41" s="103">
        <v>0</v>
      </c>
      <c r="P41" s="103">
        <v>0</v>
      </c>
      <c r="Q41" s="103">
        <v>0</v>
      </c>
      <c r="R41" s="155">
        <f t="shared" si="9"/>
        <v>815.70189598545835</v>
      </c>
    </row>
    <row r="42" spans="1:18" x14ac:dyDescent="0.25">
      <c r="A42" s="85">
        <v>11</v>
      </c>
      <c r="B42" s="149">
        <f t="shared" si="4"/>
        <v>45962</v>
      </c>
      <c r="C42" s="165">
        <f t="shared" si="10"/>
        <v>45994</v>
      </c>
      <c r="D42" s="165">
        <f t="shared" si="10"/>
        <v>46015</v>
      </c>
      <c r="E42" s="1" t="s">
        <v>22</v>
      </c>
      <c r="F42" s="85">
        <v>9</v>
      </c>
      <c r="G42" s="151">
        <v>2338</v>
      </c>
      <c r="H42" s="152">
        <f t="shared" si="5"/>
        <v>0.24830327934112015</v>
      </c>
      <c r="I42" s="152">
        <f t="shared" si="1"/>
        <v>0.50085767102457412</v>
      </c>
      <c r="J42" s="103">
        <f t="shared" si="2"/>
        <v>1171.0052348554543</v>
      </c>
      <c r="K42" s="153">
        <f t="shared" si="11"/>
        <v>580.53306709953893</v>
      </c>
      <c r="L42" s="154">
        <f t="shared" si="12"/>
        <v>590.47216775591539</v>
      </c>
      <c r="M42" s="103">
        <f t="shared" si="7"/>
        <v>42.278672593786489</v>
      </c>
      <c r="N42" s="155">
        <f t="shared" si="8"/>
        <v>632.75084034970189</v>
      </c>
      <c r="O42" s="103">
        <v>0</v>
      </c>
      <c r="P42" s="103">
        <v>0</v>
      </c>
      <c r="Q42" s="103">
        <v>0</v>
      </c>
      <c r="R42" s="155">
        <f t="shared" si="9"/>
        <v>632.75084034970189</v>
      </c>
    </row>
    <row r="43" spans="1:18" x14ac:dyDescent="0.25">
      <c r="A43" s="85">
        <v>12</v>
      </c>
      <c r="B43" s="149">
        <f t="shared" si="4"/>
        <v>45992</v>
      </c>
      <c r="C43" s="165">
        <f t="shared" si="10"/>
        <v>46028</v>
      </c>
      <c r="D43" s="165">
        <f t="shared" si="10"/>
        <v>46048</v>
      </c>
      <c r="E43" s="1" t="s">
        <v>22</v>
      </c>
      <c r="F43" s="85">
        <v>9</v>
      </c>
      <c r="G43" s="207">
        <v>2969</v>
      </c>
      <c r="H43" s="157">
        <f t="shared" si="5"/>
        <v>0.24830327934112015</v>
      </c>
      <c r="I43" s="157">
        <f t="shared" si="1"/>
        <v>0.50085767102457412</v>
      </c>
      <c r="J43" s="158">
        <f t="shared" si="2"/>
        <v>1487.0464252719605</v>
      </c>
      <c r="K43" s="159">
        <f t="shared" si="11"/>
        <v>737.21243636378574</v>
      </c>
      <c r="L43" s="160">
        <f t="shared" si="12"/>
        <v>749.83398890817477</v>
      </c>
      <c r="M43" s="158">
        <f t="shared" si="7"/>
        <v>53.689212545317396</v>
      </c>
      <c r="N43" s="208">
        <f t="shared" si="8"/>
        <v>803.52320145349222</v>
      </c>
      <c r="O43" s="158">
        <v>0</v>
      </c>
      <c r="P43" s="158">
        <v>0</v>
      </c>
      <c r="Q43" s="158">
        <v>0</v>
      </c>
      <c r="R43" s="208">
        <f t="shared" si="9"/>
        <v>803.52320145349222</v>
      </c>
    </row>
    <row r="44" spans="1:18" x14ac:dyDescent="0.25">
      <c r="A44" s="85">
        <v>1</v>
      </c>
      <c r="B44" s="161">
        <f t="shared" ref="B44:B55" si="13">DATE($R$1,A44,1)</f>
        <v>45658</v>
      </c>
      <c r="C44" s="162">
        <f t="shared" ref="C44:D55" si="14">+C32</f>
        <v>45693</v>
      </c>
      <c r="D44" s="162">
        <f t="shared" si="14"/>
        <v>45712</v>
      </c>
      <c r="E44" s="163" t="s">
        <v>83</v>
      </c>
      <c r="F44" s="164">
        <v>9</v>
      </c>
      <c r="G44" s="151">
        <v>211</v>
      </c>
      <c r="H44" s="152">
        <f t="shared" si="5"/>
        <v>0.24830327934112015</v>
      </c>
      <c r="I44" s="152">
        <f t="shared" si="1"/>
        <v>0.50085767102457412</v>
      </c>
      <c r="J44" s="103">
        <f t="shared" ref="J44:J55" si="15">+$G44*I44</f>
        <v>105.68096858618514</v>
      </c>
      <c r="K44" s="153">
        <f t="shared" ref="K44:K55" si="16">+$G44*H44</f>
        <v>52.391991940976354</v>
      </c>
      <c r="L44" s="154">
        <f t="shared" ref="L44:L55" si="17">+J44-K44</f>
        <v>53.288976645208791</v>
      </c>
      <c r="M44" s="103">
        <f t="shared" si="7"/>
        <v>3.8155688268986094</v>
      </c>
      <c r="N44" s="155">
        <f t="shared" si="8"/>
        <v>57.104545472107404</v>
      </c>
      <c r="O44" s="103">
        <v>0</v>
      </c>
      <c r="P44" s="103">
        <v>0</v>
      </c>
      <c r="Q44" s="103">
        <v>0</v>
      </c>
      <c r="R44" s="155">
        <f t="shared" si="9"/>
        <v>57.104545472107404</v>
      </c>
    </row>
    <row r="45" spans="1:18" x14ac:dyDescent="0.25">
      <c r="A45" s="85">
        <v>2</v>
      </c>
      <c r="B45" s="149">
        <f t="shared" si="13"/>
        <v>45689</v>
      </c>
      <c r="C45" s="165">
        <f t="shared" si="14"/>
        <v>45721</v>
      </c>
      <c r="D45" s="165">
        <f t="shared" si="14"/>
        <v>45740</v>
      </c>
      <c r="E45" s="156" t="s">
        <v>83</v>
      </c>
      <c r="F45" s="85">
        <v>9</v>
      </c>
      <c r="G45" s="151">
        <v>200</v>
      </c>
      <c r="H45" s="152">
        <f t="shared" si="5"/>
        <v>0.24830327934112015</v>
      </c>
      <c r="I45" s="152">
        <f t="shared" si="1"/>
        <v>0.50085767102457412</v>
      </c>
      <c r="J45" s="103">
        <f t="shared" si="15"/>
        <v>100.17153420491482</v>
      </c>
      <c r="K45" s="153">
        <f t="shared" si="16"/>
        <v>49.660655868224026</v>
      </c>
      <c r="L45" s="154">
        <f t="shared" si="17"/>
        <v>50.510878336690794</v>
      </c>
      <c r="M45" s="103">
        <f t="shared" si="7"/>
        <v>3.6166529164915726</v>
      </c>
      <c r="N45" s="155">
        <f t="shared" si="8"/>
        <v>54.127531253182369</v>
      </c>
      <c r="O45" s="103">
        <v>0</v>
      </c>
      <c r="P45" s="103">
        <v>0</v>
      </c>
      <c r="Q45" s="103">
        <v>0</v>
      </c>
      <c r="R45" s="155">
        <f t="shared" si="9"/>
        <v>54.127531253182369</v>
      </c>
    </row>
    <row r="46" spans="1:18" x14ac:dyDescent="0.25">
      <c r="A46" s="85">
        <v>3</v>
      </c>
      <c r="B46" s="149">
        <f t="shared" si="13"/>
        <v>45717</v>
      </c>
      <c r="C46" s="165">
        <f t="shared" si="14"/>
        <v>45750</v>
      </c>
      <c r="D46" s="165">
        <f t="shared" si="14"/>
        <v>45771</v>
      </c>
      <c r="E46" s="156" t="s">
        <v>83</v>
      </c>
      <c r="F46" s="85">
        <v>9</v>
      </c>
      <c r="G46" s="151">
        <v>122</v>
      </c>
      <c r="H46" s="152">
        <f t="shared" si="5"/>
        <v>0.24830327934112015</v>
      </c>
      <c r="I46" s="152">
        <f t="shared" si="1"/>
        <v>0.50085767102457412</v>
      </c>
      <c r="J46" s="103">
        <f t="shared" si="15"/>
        <v>61.104635864998045</v>
      </c>
      <c r="K46" s="153">
        <f t="shared" si="16"/>
        <v>30.293000079616657</v>
      </c>
      <c r="L46" s="154">
        <f t="shared" si="17"/>
        <v>30.811635785381387</v>
      </c>
      <c r="M46" s="103">
        <f t="shared" si="7"/>
        <v>2.2061582790598591</v>
      </c>
      <c r="N46" s="155">
        <f t="shared" si="8"/>
        <v>33.017794064441247</v>
      </c>
      <c r="O46" s="103">
        <v>0</v>
      </c>
      <c r="P46" s="103">
        <v>0</v>
      </c>
      <c r="Q46" s="103">
        <v>0</v>
      </c>
      <c r="R46" s="155">
        <f t="shared" si="9"/>
        <v>33.017794064441247</v>
      </c>
    </row>
    <row r="47" spans="1:18" x14ac:dyDescent="0.25">
      <c r="A47" s="85">
        <v>4</v>
      </c>
      <c r="B47" s="149">
        <f t="shared" si="13"/>
        <v>45748</v>
      </c>
      <c r="C47" s="165">
        <f t="shared" si="14"/>
        <v>45782</v>
      </c>
      <c r="D47" s="165">
        <f t="shared" si="14"/>
        <v>45803</v>
      </c>
      <c r="E47" s="156" t="s">
        <v>83</v>
      </c>
      <c r="F47" s="85">
        <v>9</v>
      </c>
      <c r="G47" s="151">
        <v>109</v>
      </c>
      <c r="H47" s="152">
        <f t="shared" si="5"/>
        <v>0.24830327934112015</v>
      </c>
      <c r="I47" s="152">
        <f t="shared" si="1"/>
        <v>0.50085767102457412</v>
      </c>
      <c r="J47" s="103">
        <f t="shared" si="15"/>
        <v>54.593486141678582</v>
      </c>
      <c r="K47" s="153">
        <f t="shared" si="16"/>
        <v>27.065057448182095</v>
      </c>
      <c r="L47" s="154">
        <f t="shared" si="17"/>
        <v>27.528428693496487</v>
      </c>
      <c r="M47" s="103">
        <f t="shared" si="7"/>
        <v>1.9710758394879073</v>
      </c>
      <c r="N47" s="155">
        <f t="shared" si="8"/>
        <v>29.499504532984393</v>
      </c>
      <c r="O47" s="103">
        <v>0</v>
      </c>
      <c r="P47" s="103">
        <v>0</v>
      </c>
      <c r="Q47" s="103">
        <v>0</v>
      </c>
      <c r="R47" s="155">
        <f t="shared" si="9"/>
        <v>29.499504532984393</v>
      </c>
    </row>
    <row r="48" spans="1:18" x14ac:dyDescent="0.25">
      <c r="A48" s="85">
        <v>5</v>
      </c>
      <c r="B48" s="149">
        <f t="shared" si="13"/>
        <v>45778</v>
      </c>
      <c r="C48" s="165">
        <f t="shared" si="14"/>
        <v>45812</v>
      </c>
      <c r="D48" s="165">
        <f t="shared" si="14"/>
        <v>45832</v>
      </c>
      <c r="E48" s="156" t="s">
        <v>83</v>
      </c>
      <c r="F48" s="85">
        <v>9</v>
      </c>
      <c r="G48" s="151">
        <v>102</v>
      </c>
      <c r="H48" s="152">
        <f t="shared" si="5"/>
        <v>0.24830327934112015</v>
      </c>
      <c r="I48" s="152">
        <f t="shared" si="1"/>
        <v>0.50085767102457412</v>
      </c>
      <c r="J48" s="103">
        <f t="shared" si="15"/>
        <v>51.087482444506563</v>
      </c>
      <c r="K48" s="153">
        <f t="shared" si="16"/>
        <v>25.326934492794255</v>
      </c>
      <c r="L48" s="154">
        <f t="shared" si="17"/>
        <v>25.760547951712308</v>
      </c>
      <c r="M48" s="103">
        <f t="shared" si="7"/>
        <v>1.8444929874107021</v>
      </c>
      <c r="N48" s="155">
        <f t="shared" si="8"/>
        <v>27.605040939123011</v>
      </c>
      <c r="O48" s="103">
        <v>0</v>
      </c>
      <c r="P48" s="103">
        <v>0</v>
      </c>
      <c r="Q48" s="103">
        <v>0</v>
      </c>
      <c r="R48" s="155">
        <f t="shared" si="9"/>
        <v>27.605040939123011</v>
      </c>
    </row>
    <row r="49" spans="1:18" x14ac:dyDescent="0.25">
      <c r="A49" s="85">
        <v>6</v>
      </c>
      <c r="B49" s="149">
        <f t="shared" si="13"/>
        <v>45809</v>
      </c>
      <c r="C49" s="165">
        <f t="shared" si="14"/>
        <v>45841</v>
      </c>
      <c r="D49" s="165">
        <f t="shared" si="14"/>
        <v>45862</v>
      </c>
      <c r="E49" s="156" t="s">
        <v>83</v>
      </c>
      <c r="F49" s="85">
        <v>9</v>
      </c>
      <c r="G49" s="151">
        <v>131</v>
      </c>
      <c r="H49" s="152">
        <f t="shared" si="5"/>
        <v>0.24830327934112015</v>
      </c>
      <c r="I49" s="152">
        <f t="shared" si="1"/>
        <v>0.50085767102457412</v>
      </c>
      <c r="J49" s="103">
        <f t="shared" si="15"/>
        <v>65.612354904219217</v>
      </c>
      <c r="K49" s="153">
        <f t="shared" si="16"/>
        <v>32.527729593686736</v>
      </c>
      <c r="L49" s="154">
        <f t="shared" si="17"/>
        <v>33.084625310532481</v>
      </c>
      <c r="M49" s="103">
        <f t="shared" si="7"/>
        <v>2.3689076603019799</v>
      </c>
      <c r="N49" s="155">
        <f t="shared" si="8"/>
        <v>35.453532970834459</v>
      </c>
      <c r="O49" s="103">
        <v>0</v>
      </c>
      <c r="P49" s="103">
        <v>0</v>
      </c>
      <c r="Q49" s="103">
        <v>0</v>
      </c>
      <c r="R49" s="155">
        <f t="shared" si="9"/>
        <v>35.453532970834459</v>
      </c>
    </row>
    <row r="50" spans="1:18" x14ac:dyDescent="0.25">
      <c r="A50" s="85">
        <v>7</v>
      </c>
      <c r="B50" s="149">
        <f t="shared" si="13"/>
        <v>45839</v>
      </c>
      <c r="C50" s="165">
        <f t="shared" si="14"/>
        <v>45874</v>
      </c>
      <c r="D50" s="165">
        <f t="shared" si="14"/>
        <v>45894</v>
      </c>
      <c r="E50" s="156" t="s">
        <v>83</v>
      </c>
      <c r="F50" s="85">
        <v>9</v>
      </c>
      <c r="G50" s="151">
        <v>146</v>
      </c>
      <c r="H50" s="152">
        <f t="shared" si="5"/>
        <v>0.24830327934112015</v>
      </c>
      <c r="I50" s="152">
        <f t="shared" si="1"/>
        <v>0.50085767102457412</v>
      </c>
      <c r="J50" s="103">
        <f t="shared" si="15"/>
        <v>73.125219969587818</v>
      </c>
      <c r="K50" s="153">
        <f t="shared" si="16"/>
        <v>36.25227878380354</v>
      </c>
      <c r="L50" s="154">
        <f t="shared" si="17"/>
        <v>36.872941185784278</v>
      </c>
      <c r="M50" s="103">
        <f t="shared" si="7"/>
        <v>2.6401566290388478</v>
      </c>
      <c r="N50" s="155">
        <f t="shared" si="8"/>
        <v>39.513097814823126</v>
      </c>
      <c r="O50" s="103">
        <v>0</v>
      </c>
      <c r="P50" s="103">
        <v>0</v>
      </c>
      <c r="Q50" s="103">
        <v>0</v>
      </c>
      <c r="R50" s="155">
        <f t="shared" si="9"/>
        <v>39.513097814823126</v>
      </c>
    </row>
    <row r="51" spans="1:18" x14ac:dyDescent="0.25">
      <c r="A51" s="85">
        <v>8</v>
      </c>
      <c r="B51" s="149">
        <f t="shared" si="13"/>
        <v>45870</v>
      </c>
      <c r="C51" s="165">
        <f t="shared" si="14"/>
        <v>45904</v>
      </c>
      <c r="D51" s="165">
        <f t="shared" si="14"/>
        <v>45924</v>
      </c>
      <c r="E51" s="156" t="s">
        <v>83</v>
      </c>
      <c r="F51" s="85">
        <v>9</v>
      </c>
      <c r="G51" s="151">
        <v>149</v>
      </c>
      <c r="H51" s="152">
        <f t="shared" si="5"/>
        <v>0.24830327934112015</v>
      </c>
      <c r="I51" s="152">
        <f t="shared" si="1"/>
        <v>0.50085767102457412</v>
      </c>
      <c r="J51" s="103">
        <f t="shared" si="15"/>
        <v>74.627792982661546</v>
      </c>
      <c r="K51" s="153">
        <f t="shared" si="16"/>
        <v>36.997188621826901</v>
      </c>
      <c r="L51" s="154">
        <f t="shared" si="17"/>
        <v>37.630604360834646</v>
      </c>
      <c r="M51" s="103">
        <f t="shared" si="7"/>
        <v>2.6944064227862219</v>
      </c>
      <c r="N51" s="155">
        <f t="shared" si="8"/>
        <v>40.325010783620868</v>
      </c>
      <c r="O51" s="103">
        <v>0</v>
      </c>
      <c r="P51" s="103">
        <v>0</v>
      </c>
      <c r="Q51" s="103">
        <v>0</v>
      </c>
      <c r="R51" s="155">
        <f t="shared" si="9"/>
        <v>40.325010783620868</v>
      </c>
    </row>
    <row r="52" spans="1:18" x14ac:dyDescent="0.25">
      <c r="A52" s="85">
        <v>9</v>
      </c>
      <c r="B52" s="149">
        <f t="shared" si="13"/>
        <v>45901</v>
      </c>
      <c r="C52" s="165">
        <f t="shared" si="14"/>
        <v>45933</v>
      </c>
      <c r="D52" s="165">
        <f t="shared" si="14"/>
        <v>45954</v>
      </c>
      <c r="E52" s="156" t="s">
        <v>83</v>
      </c>
      <c r="F52" s="85">
        <v>9</v>
      </c>
      <c r="G52" s="151">
        <v>122</v>
      </c>
      <c r="H52" s="152">
        <f t="shared" si="5"/>
        <v>0.24830327934112015</v>
      </c>
      <c r="I52" s="152">
        <f t="shared" si="1"/>
        <v>0.50085767102457412</v>
      </c>
      <c r="J52" s="103">
        <f t="shared" si="15"/>
        <v>61.104635864998045</v>
      </c>
      <c r="K52" s="153">
        <f t="shared" si="16"/>
        <v>30.293000079616657</v>
      </c>
      <c r="L52" s="154">
        <f t="shared" si="17"/>
        <v>30.811635785381387</v>
      </c>
      <c r="M52" s="103">
        <f t="shared" si="7"/>
        <v>2.2061582790598591</v>
      </c>
      <c r="N52" s="155">
        <f t="shared" si="8"/>
        <v>33.017794064441247</v>
      </c>
      <c r="O52" s="103">
        <v>0</v>
      </c>
      <c r="P52" s="103">
        <v>0</v>
      </c>
      <c r="Q52" s="103">
        <v>0</v>
      </c>
      <c r="R52" s="155">
        <f t="shared" si="9"/>
        <v>33.017794064441247</v>
      </c>
    </row>
    <row r="53" spans="1:18" x14ac:dyDescent="0.25">
      <c r="A53" s="85">
        <v>10</v>
      </c>
      <c r="B53" s="149">
        <f t="shared" si="13"/>
        <v>45931</v>
      </c>
      <c r="C53" s="165">
        <f t="shared" si="14"/>
        <v>45966</v>
      </c>
      <c r="D53" s="165">
        <f t="shared" si="14"/>
        <v>45985</v>
      </c>
      <c r="E53" s="156" t="s">
        <v>83</v>
      </c>
      <c r="F53" s="85">
        <v>9</v>
      </c>
      <c r="G53" s="151">
        <v>117</v>
      </c>
      <c r="H53" s="152">
        <f t="shared" si="5"/>
        <v>0.24830327934112015</v>
      </c>
      <c r="I53" s="152">
        <f t="shared" si="1"/>
        <v>0.50085767102457412</v>
      </c>
      <c r="J53" s="103">
        <f t="shared" si="15"/>
        <v>58.600347509875171</v>
      </c>
      <c r="K53" s="153">
        <f t="shared" si="16"/>
        <v>29.051483682911059</v>
      </c>
      <c r="L53" s="154">
        <f t="shared" si="17"/>
        <v>29.548863826964112</v>
      </c>
      <c r="M53" s="103">
        <f t="shared" si="7"/>
        <v>2.1157419561475703</v>
      </c>
      <c r="N53" s="155">
        <f t="shared" si="8"/>
        <v>31.664605783111682</v>
      </c>
      <c r="O53" s="103">
        <v>0</v>
      </c>
      <c r="P53" s="103">
        <v>0</v>
      </c>
      <c r="Q53" s="103">
        <v>0</v>
      </c>
      <c r="R53" s="155">
        <f t="shared" si="9"/>
        <v>31.664605783111682</v>
      </c>
    </row>
    <row r="54" spans="1:18" x14ac:dyDescent="0.25">
      <c r="A54" s="85">
        <v>11</v>
      </c>
      <c r="B54" s="149">
        <f t="shared" si="13"/>
        <v>45962</v>
      </c>
      <c r="C54" s="165">
        <f t="shared" si="14"/>
        <v>45994</v>
      </c>
      <c r="D54" s="165">
        <f t="shared" si="14"/>
        <v>46015</v>
      </c>
      <c r="E54" s="156" t="s">
        <v>83</v>
      </c>
      <c r="F54" s="85">
        <v>9</v>
      </c>
      <c r="G54" s="151">
        <v>118</v>
      </c>
      <c r="H54" s="152">
        <f t="shared" si="5"/>
        <v>0.24830327934112015</v>
      </c>
      <c r="I54" s="152">
        <f t="shared" si="1"/>
        <v>0.50085767102457412</v>
      </c>
      <c r="J54" s="103">
        <f t="shared" si="15"/>
        <v>59.101205180899747</v>
      </c>
      <c r="K54" s="153">
        <f t="shared" si="16"/>
        <v>29.299786962252178</v>
      </c>
      <c r="L54" s="154">
        <f t="shared" si="17"/>
        <v>29.801418218647569</v>
      </c>
      <c r="M54" s="103">
        <f t="shared" si="7"/>
        <v>2.1338252207300279</v>
      </c>
      <c r="N54" s="155">
        <f t="shared" si="8"/>
        <v>31.935243439377597</v>
      </c>
      <c r="O54" s="103">
        <v>0</v>
      </c>
      <c r="P54" s="103">
        <v>0</v>
      </c>
      <c r="Q54" s="103">
        <v>0</v>
      </c>
      <c r="R54" s="155">
        <f t="shared" si="9"/>
        <v>31.935243439377597</v>
      </c>
    </row>
    <row r="55" spans="1:18" x14ac:dyDescent="0.25">
      <c r="A55" s="85">
        <v>12</v>
      </c>
      <c r="B55" s="149">
        <f t="shared" si="13"/>
        <v>45992</v>
      </c>
      <c r="C55" s="165">
        <f t="shared" si="14"/>
        <v>46028</v>
      </c>
      <c r="D55" s="165">
        <f t="shared" si="14"/>
        <v>46048</v>
      </c>
      <c r="E55" s="156" t="s">
        <v>83</v>
      </c>
      <c r="F55" s="85">
        <v>9</v>
      </c>
      <c r="G55" s="207">
        <v>178</v>
      </c>
      <c r="H55" s="157">
        <f t="shared" si="5"/>
        <v>0.24830327934112015</v>
      </c>
      <c r="I55" s="157">
        <f t="shared" si="1"/>
        <v>0.50085767102457412</v>
      </c>
      <c r="J55" s="158">
        <f t="shared" si="15"/>
        <v>89.1526654423742</v>
      </c>
      <c r="K55" s="159">
        <f t="shared" si="16"/>
        <v>44.197983722719385</v>
      </c>
      <c r="L55" s="160">
        <f t="shared" si="17"/>
        <v>44.954681719654815</v>
      </c>
      <c r="M55" s="158">
        <f t="shared" si="7"/>
        <v>3.2188210956774994</v>
      </c>
      <c r="N55" s="208">
        <f t="shared" si="8"/>
        <v>48.173502815332313</v>
      </c>
      <c r="O55" s="158">
        <v>0</v>
      </c>
      <c r="P55" s="158">
        <v>0</v>
      </c>
      <c r="Q55" s="158">
        <v>0</v>
      </c>
      <c r="R55" s="208">
        <f t="shared" si="9"/>
        <v>48.173502815332313</v>
      </c>
    </row>
    <row r="56" spans="1:18" s="166" customFormat="1" x14ac:dyDescent="0.25">
      <c r="A56" s="85">
        <v>1</v>
      </c>
      <c r="B56" s="161">
        <f t="shared" si="4"/>
        <v>45658</v>
      </c>
      <c r="C56" s="162">
        <f t="shared" ref="C56:D67" si="18">+C32</f>
        <v>45693</v>
      </c>
      <c r="D56" s="162">
        <f t="shared" si="18"/>
        <v>45712</v>
      </c>
      <c r="E56" s="163" t="s">
        <v>14</v>
      </c>
      <c r="F56" s="164">
        <v>9</v>
      </c>
      <c r="G56" s="151">
        <v>966</v>
      </c>
      <c r="H56" s="152">
        <f t="shared" si="5"/>
        <v>0.24830327934112015</v>
      </c>
      <c r="I56" s="152">
        <f t="shared" si="1"/>
        <v>0.50085767102457412</v>
      </c>
      <c r="J56" s="103">
        <f t="shared" si="2"/>
        <v>483.82851020973862</v>
      </c>
      <c r="K56" s="153">
        <f t="shared" si="11"/>
        <v>239.86096784352208</v>
      </c>
      <c r="L56" s="154">
        <f t="shared" si="12"/>
        <v>243.96754236621655</v>
      </c>
      <c r="M56" s="103">
        <f t="shared" si="7"/>
        <v>17.468433586654296</v>
      </c>
      <c r="N56" s="155">
        <f t="shared" si="8"/>
        <v>261.43597595287082</v>
      </c>
      <c r="O56" s="103">
        <v>0</v>
      </c>
      <c r="P56" s="103">
        <v>0</v>
      </c>
      <c r="Q56" s="103">
        <v>0</v>
      </c>
      <c r="R56" s="155">
        <f t="shared" si="9"/>
        <v>261.43597595287082</v>
      </c>
    </row>
    <row r="57" spans="1:18" x14ac:dyDescent="0.25">
      <c r="A57" s="85">
        <v>2</v>
      </c>
      <c r="B57" s="149">
        <f t="shared" si="4"/>
        <v>45689</v>
      </c>
      <c r="C57" s="165">
        <f t="shared" si="18"/>
        <v>45721</v>
      </c>
      <c r="D57" s="165">
        <f t="shared" si="18"/>
        <v>45740</v>
      </c>
      <c r="E57" s="156" t="s">
        <v>14</v>
      </c>
      <c r="F57" s="85">
        <v>9</v>
      </c>
      <c r="G57" s="151">
        <v>1102</v>
      </c>
      <c r="H57" s="152">
        <f t="shared" si="5"/>
        <v>0.24830327934112015</v>
      </c>
      <c r="I57" s="152">
        <f t="shared" si="1"/>
        <v>0.50085767102457412</v>
      </c>
      <c r="J57" s="103">
        <f t="shared" si="2"/>
        <v>551.94515346908065</v>
      </c>
      <c r="K57" s="153">
        <f t="shared" si="11"/>
        <v>273.63021383391441</v>
      </c>
      <c r="L57" s="154">
        <f t="shared" si="12"/>
        <v>278.31493963516624</v>
      </c>
      <c r="M57" s="103">
        <f t="shared" si="7"/>
        <v>19.927757569868565</v>
      </c>
      <c r="N57" s="155">
        <f t="shared" si="8"/>
        <v>298.2426972050348</v>
      </c>
      <c r="O57" s="103">
        <v>0</v>
      </c>
      <c r="P57" s="103">
        <v>0</v>
      </c>
      <c r="Q57" s="103">
        <v>0</v>
      </c>
      <c r="R57" s="155">
        <f t="shared" si="9"/>
        <v>298.2426972050348</v>
      </c>
    </row>
    <row r="58" spans="1:18" x14ac:dyDescent="0.25">
      <c r="A58" s="85">
        <v>3</v>
      </c>
      <c r="B58" s="149">
        <f t="shared" si="4"/>
        <v>45717</v>
      </c>
      <c r="C58" s="165">
        <f t="shared" si="18"/>
        <v>45750</v>
      </c>
      <c r="D58" s="165">
        <f t="shared" si="18"/>
        <v>45771</v>
      </c>
      <c r="E58" s="156" t="s">
        <v>14</v>
      </c>
      <c r="F58" s="85">
        <v>9</v>
      </c>
      <c r="G58" s="151">
        <v>715</v>
      </c>
      <c r="H58" s="152">
        <f t="shared" si="5"/>
        <v>0.24830327934112015</v>
      </c>
      <c r="I58" s="152">
        <f t="shared" si="1"/>
        <v>0.50085767102457412</v>
      </c>
      <c r="J58" s="103">
        <f t="shared" si="2"/>
        <v>358.11323478257049</v>
      </c>
      <c r="K58" s="153">
        <f t="shared" si="11"/>
        <v>177.53684472890092</v>
      </c>
      <c r="L58" s="154">
        <f>+J58-K58</f>
        <v>180.57639005366957</v>
      </c>
      <c r="M58" s="103">
        <f t="shared" si="7"/>
        <v>12.929534176457372</v>
      </c>
      <c r="N58" s="155">
        <f t="shared" si="8"/>
        <v>193.50592423012694</v>
      </c>
      <c r="O58" s="103">
        <v>0</v>
      </c>
      <c r="P58" s="103">
        <v>0</v>
      </c>
      <c r="Q58" s="103">
        <v>0</v>
      </c>
      <c r="R58" s="155">
        <f t="shared" si="9"/>
        <v>193.50592423012694</v>
      </c>
    </row>
    <row r="59" spans="1:18" x14ac:dyDescent="0.25">
      <c r="A59" s="85">
        <v>4</v>
      </c>
      <c r="B59" s="149">
        <f t="shared" si="4"/>
        <v>45748</v>
      </c>
      <c r="C59" s="165">
        <f t="shared" si="18"/>
        <v>45782</v>
      </c>
      <c r="D59" s="165">
        <f t="shared" si="18"/>
        <v>45803</v>
      </c>
      <c r="E59" s="156" t="s">
        <v>14</v>
      </c>
      <c r="F59" s="85">
        <v>9</v>
      </c>
      <c r="G59" s="151">
        <v>581</v>
      </c>
      <c r="H59" s="152">
        <f t="shared" si="5"/>
        <v>0.24830327934112015</v>
      </c>
      <c r="I59" s="152">
        <f t="shared" si="1"/>
        <v>0.50085767102457412</v>
      </c>
      <c r="J59" s="103">
        <f t="shared" si="2"/>
        <v>290.99830686527758</v>
      </c>
      <c r="K59" s="153">
        <f t="shared" si="11"/>
        <v>144.26420529719081</v>
      </c>
      <c r="L59" s="154">
        <f t="shared" ref="L59:L81" si="19">+J59-K59</f>
        <v>146.73410156808677</v>
      </c>
      <c r="M59" s="103">
        <f t="shared" si="7"/>
        <v>10.506376722408019</v>
      </c>
      <c r="N59" s="155">
        <f t="shared" si="8"/>
        <v>157.24047829049479</v>
      </c>
      <c r="O59" s="103">
        <v>0</v>
      </c>
      <c r="P59" s="103">
        <v>0</v>
      </c>
      <c r="Q59" s="103">
        <v>0</v>
      </c>
      <c r="R59" s="155">
        <f t="shared" si="9"/>
        <v>157.24047829049479</v>
      </c>
    </row>
    <row r="60" spans="1:18" x14ac:dyDescent="0.25">
      <c r="A60" s="85">
        <v>5</v>
      </c>
      <c r="B60" s="149">
        <f t="shared" si="4"/>
        <v>45778</v>
      </c>
      <c r="C60" s="165">
        <f t="shared" si="18"/>
        <v>45812</v>
      </c>
      <c r="D60" s="165">
        <f t="shared" si="18"/>
        <v>45832</v>
      </c>
      <c r="E60" s="1" t="s">
        <v>14</v>
      </c>
      <c r="F60" s="85">
        <v>9</v>
      </c>
      <c r="G60" s="151">
        <v>781</v>
      </c>
      <c r="H60" s="152">
        <f t="shared" si="5"/>
        <v>0.24830327934112015</v>
      </c>
      <c r="I60" s="152">
        <f t="shared" si="1"/>
        <v>0.50085767102457412</v>
      </c>
      <c r="J60" s="103">
        <f t="shared" si="2"/>
        <v>391.16984107019238</v>
      </c>
      <c r="K60" s="153">
        <f t="shared" si="11"/>
        <v>193.92486116541482</v>
      </c>
      <c r="L60" s="154">
        <f t="shared" si="19"/>
        <v>197.24497990477755</v>
      </c>
      <c r="M60" s="103">
        <f t="shared" si="7"/>
        <v>14.123029638899592</v>
      </c>
      <c r="N60" s="155">
        <f t="shared" si="8"/>
        <v>211.36800954367715</v>
      </c>
      <c r="O60" s="103">
        <v>0</v>
      </c>
      <c r="P60" s="103">
        <v>0</v>
      </c>
      <c r="Q60" s="103">
        <v>0</v>
      </c>
      <c r="R60" s="155">
        <f t="shared" si="9"/>
        <v>211.36800954367715</v>
      </c>
    </row>
    <row r="61" spans="1:18" x14ac:dyDescent="0.25">
      <c r="A61" s="85">
        <v>6</v>
      </c>
      <c r="B61" s="149">
        <f t="shared" si="4"/>
        <v>45809</v>
      </c>
      <c r="C61" s="165">
        <f t="shared" si="18"/>
        <v>45841</v>
      </c>
      <c r="D61" s="165">
        <f t="shared" si="18"/>
        <v>45862</v>
      </c>
      <c r="E61" s="1" t="s">
        <v>14</v>
      </c>
      <c r="F61" s="85">
        <v>9</v>
      </c>
      <c r="G61" s="151">
        <v>896</v>
      </c>
      <c r="H61" s="152">
        <f t="shared" si="5"/>
        <v>0.24830327934112015</v>
      </c>
      <c r="I61" s="152">
        <f t="shared" si="1"/>
        <v>0.50085767102457412</v>
      </c>
      <c r="J61" s="103">
        <f t="shared" si="2"/>
        <v>448.76847323801843</v>
      </c>
      <c r="K61" s="153">
        <f t="shared" si="11"/>
        <v>222.47973828964365</v>
      </c>
      <c r="L61" s="154">
        <f t="shared" si="19"/>
        <v>226.28873494837478</v>
      </c>
      <c r="M61" s="103">
        <f t="shared" si="7"/>
        <v>16.202605065882246</v>
      </c>
      <c r="N61" s="155">
        <f t="shared" si="8"/>
        <v>242.49134001425702</v>
      </c>
      <c r="O61" s="103">
        <v>0</v>
      </c>
      <c r="P61" s="103">
        <v>0</v>
      </c>
      <c r="Q61" s="103">
        <v>0</v>
      </c>
      <c r="R61" s="155">
        <f t="shared" si="9"/>
        <v>242.49134001425702</v>
      </c>
    </row>
    <row r="62" spans="1:18" x14ac:dyDescent="0.25">
      <c r="A62" s="85">
        <v>7</v>
      </c>
      <c r="B62" s="149">
        <f t="shared" si="4"/>
        <v>45839</v>
      </c>
      <c r="C62" s="165">
        <f t="shared" si="18"/>
        <v>45874</v>
      </c>
      <c r="D62" s="165">
        <f t="shared" si="18"/>
        <v>45894</v>
      </c>
      <c r="E62" s="1" t="s">
        <v>14</v>
      </c>
      <c r="F62" s="85">
        <v>9</v>
      </c>
      <c r="G62" s="151">
        <v>1028</v>
      </c>
      <c r="H62" s="152">
        <f t="shared" si="5"/>
        <v>0.24830327934112015</v>
      </c>
      <c r="I62" s="152">
        <f t="shared" si="1"/>
        <v>0.50085767102457412</v>
      </c>
      <c r="J62" s="103">
        <f t="shared" si="2"/>
        <v>514.88168581326215</v>
      </c>
      <c r="K62" s="153">
        <f t="shared" si="11"/>
        <v>255.25577116267152</v>
      </c>
      <c r="L62" s="154">
        <f t="shared" si="19"/>
        <v>259.62591465059063</v>
      </c>
      <c r="M62" s="103">
        <f t="shared" si="7"/>
        <v>18.589595990766686</v>
      </c>
      <c r="N62" s="155">
        <f t="shared" si="8"/>
        <v>278.2155106413573</v>
      </c>
      <c r="O62" s="103">
        <v>0</v>
      </c>
      <c r="P62" s="103">
        <v>0</v>
      </c>
      <c r="Q62" s="103">
        <v>0</v>
      </c>
      <c r="R62" s="155">
        <f t="shared" si="9"/>
        <v>278.2155106413573</v>
      </c>
    </row>
    <row r="63" spans="1:18" x14ac:dyDescent="0.25">
      <c r="A63" s="85">
        <v>8</v>
      </c>
      <c r="B63" s="149">
        <f t="shared" si="4"/>
        <v>45870</v>
      </c>
      <c r="C63" s="165">
        <f t="shared" si="18"/>
        <v>45904</v>
      </c>
      <c r="D63" s="165">
        <f t="shared" si="18"/>
        <v>45924</v>
      </c>
      <c r="E63" s="1" t="s">
        <v>14</v>
      </c>
      <c r="F63" s="85">
        <v>9</v>
      </c>
      <c r="G63" s="151">
        <v>1055</v>
      </c>
      <c r="H63" s="152">
        <f t="shared" si="5"/>
        <v>0.24830327934112015</v>
      </c>
      <c r="I63" s="152">
        <f t="shared" si="1"/>
        <v>0.50085767102457412</v>
      </c>
      <c r="J63" s="103">
        <f t="shared" si="2"/>
        <v>528.40484293092572</v>
      </c>
      <c r="K63" s="153">
        <f t="shared" si="11"/>
        <v>261.95995970488178</v>
      </c>
      <c r="L63" s="154">
        <f t="shared" si="19"/>
        <v>266.44488322604394</v>
      </c>
      <c r="M63" s="103">
        <f t="shared" si="7"/>
        <v>19.077844134493049</v>
      </c>
      <c r="N63" s="155">
        <f t="shared" si="8"/>
        <v>285.52272736053698</v>
      </c>
      <c r="O63" s="103">
        <v>0</v>
      </c>
      <c r="P63" s="103">
        <v>0</v>
      </c>
      <c r="Q63" s="103">
        <v>0</v>
      </c>
      <c r="R63" s="155">
        <f t="shared" si="9"/>
        <v>285.52272736053698</v>
      </c>
    </row>
    <row r="64" spans="1:18" x14ac:dyDescent="0.25">
      <c r="A64" s="85">
        <v>9</v>
      </c>
      <c r="B64" s="149">
        <f t="shared" si="4"/>
        <v>45901</v>
      </c>
      <c r="C64" s="165">
        <f t="shared" si="18"/>
        <v>45933</v>
      </c>
      <c r="D64" s="165">
        <f t="shared" si="18"/>
        <v>45954</v>
      </c>
      <c r="E64" s="1" t="s">
        <v>14</v>
      </c>
      <c r="F64" s="85">
        <v>9</v>
      </c>
      <c r="G64" s="151">
        <v>815</v>
      </c>
      <c r="H64" s="152">
        <f t="shared" si="5"/>
        <v>0.24830327934112015</v>
      </c>
      <c r="I64" s="152">
        <f t="shared" ref="I64:I107" si="20">$J$3</f>
        <v>0.50085767102457412</v>
      </c>
      <c r="J64" s="103">
        <f t="shared" si="2"/>
        <v>408.19900188502794</v>
      </c>
      <c r="K64" s="153">
        <f t="shared" si="11"/>
        <v>202.36717266301292</v>
      </c>
      <c r="L64" s="154">
        <f t="shared" si="19"/>
        <v>205.83182922201502</v>
      </c>
      <c r="M64" s="103">
        <f t="shared" si="7"/>
        <v>14.737860634703157</v>
      </c>
      <c r="N64" s="155">
        <f t="shared" si="8"/>
        <v>220.56968985671818</v>
      </c>
      <c r="O64" s="103">
        <v>0</v>
      </c>
      <c r="P64" s="103">
        <v>0</v>
      </c>
      <c r="Q64" s="103">
        <v>0</v>
      </c>
      <c r="R64" s="155">
        <f t="shared" si="9"/>
        <v>220.56968985671818</v>
      </c>
    </row>
    <row r="65" spans="1:18" x14ac:dyDescent="0.25">
      <c r="A65" s="85">
        <v>10</v>
      </c>
      <c r="B65" s="149">
        <f t="shared" si="4"/>
        <v>45931</v>
      </c>
      <c r="C65" s="165">
        <f t="shared" si="18"/>
        <v>45966</v>
      </c>
      <c r="D65" s="165">
        <f t="shared" si="18"/>
        <v>45985</v>
      </c>
      <c r="E65" s="1" t="s">
        <v>14</v>
      </c>
      <c r="F65" s="85">
        <v>9</v>
      </c>
      <c r="G65" s="151">
        <v>738</v>
      </c>
      <c r="H65" s="152">
        <f t="shared" si="5"/>
        <v>0.24830327934112015</v>
      </c>
      <c r="I65" s="152">
        <f t="shared" si="20"/>
        <v>0.50085767102457412</v>
      </c>
      <c r="J65" s="103">
        <f t="shared" si="2"/>
        <v>369.6329612161357</v>
      </c>
      <c r="K65" s="153">
        <f t="shared" si="11"/>
        <v>183.24782015374666</v>
      </c>
      <c r="L65" s="154">
        <f t="shared" si="19"/>
        <v>186.38514106238904</v>
      </c>
      <c r="M65" s="103">
        <f t="shared" si="7"/>
        <v>13.345449261853902</v>
      </c>
      <c r="N65" s="155">
        <f t="shared" si="8"/>
        <v>199.73059032424294</v>
      </c>
      <c r="O65" s="103">
        <v>0</v>
      </c>
      <c r="P65" s="103">
        <v>0</v>
      </c>
      <c r="Q65" s="103">
        <v>0</v>
      </c>
      <c r="R65" s="155">
        <f t="shared" si="9"/>
        <v>199.73059032424294</v>
      </c>
    </row>
    <row r="66" spans="1:18" x14ac:dyDescent="0.25">
      <c r="A66" s="85">
        <v>11</v>
      </c>
      <c r="B66" s="149">
        <f t="shared" si="4"/>
        <v>45962</v>
      </c>
      <c r="C66" s="165">
        <f t="shared" si="18"/>
        <v>45994</v>
      </c>
      <c r="D66" s="165">
        <f t="shared" si="18"/>
        <v>46015</v>
      </c>
      <c r="E66" s="1" t="s">
        <v>14</v>
      </c>
      <c r="F66" s="85">
        <v>9</v>
      </c>
      <c r="G66" s="151">
        <v>706</v>
      </c>
      <c r="H66" s="152">
        <f t="shared" si="5"/>
        <v>0.24830327934112015</v>
      </c>
      <c r="I66" s="152">
        <f t="shared" si="20"/>
        <v>0.50085767102457412</v>
      </c>
      <c r="J66" s="103">
        <f t="shared" si="2"/>
        <v>353.60551574334932</v>
      </c>
      <c r="K66" s="153">
        <f t="shared" si="11"/>
        <v>175.30211521483082</v>
      </c>
      <c r="L66" s="154">
        <f t="shared" si="19"/>
        <v>178.30340052851849</v>
      </c>
      <c r="M66" s="103">
        <f t="shared" si="7"/>
        <v>12.766784795215251</v>
      </c>
      <c r="N66" s="155">
        <f t="shared" si="8"/>
        <v>191.07018532373374</v>
      </c>
      <c r="O66" s="103">
        <v>0</v>
      </c>
      <c r="P66" s="103">
        <v>0</v>
      </c>
      <c r="Q66" s="103">
        <v>0</v>
      </c>
      <c r="R66" s="155">
        <f t="shared" si="9"/>
        <v>191.07018532373374</v>
      </c>
    </row>
    <row r="67" spans="1:18" s="169" customFormat="1" x14ac:dyDescent="0.25">
      <c r="A67" s="85">
        <v>12</v>
      </c>
      <c r="B67" s="167">
        <f t="shared" si="4"/>
        <v>45992</v>
      </c>
      <c r="C67" s="165">
        <f t="shared" si="18"/>
        <v>46028</v>
      </c>
      <c r="D67" s="165">
        <f t="shared" si="18"/>
        <v>46048</v>
      </c>
      <c r="E67" s="168" t="s">
        <v>14</v>
      </c>
      <c r="F67" s="126">
        <v>9</v>
      </c>
      <c r="G67" s="207">
        <v>863</v>
      </c>
      <c r="H67" s="157">
        <f t="shared" si="5"/>
        <v>0.24830327934112015</v>
      </c>
      <c r="I67" s="157">
        <f t="shared" si="20"/>
        <v>0.50085767102457412</v>
      </c>
      <c r="J67" s="158">
        <f t="shared" si="2"/>
        <v>432.24017009420749</v>
      </c>
      <c r="K67" s="159">
        <f t="shared" si="11"/>
        <v>214.28573007138669</v>
      </c>
      <c r="L67" s="160">
        <f t="shared" si="19"/>
        <v>217.95444002282079</v>
      </c>
      <c r="M67" s="158">
        <f t="shared" si="7"/>
        <v>15.605857334661135</v>
      </c>
      <c r="N67" s="208">
        <f t="shared" si="8"/>
        <v>233.56029735748191</v>
      </c>
      <c r="O67" s="158">
        <v>0</v>
      </c>
      <c r="P67" s="158">
        <v>0</v>
      </c>
      <c r="Q67" s="158">
        <v>0</v>
      </c>
      <c r="R67" s="208">
        <f t="shared" si="9"/>
        <v>233.56029735748191</v>
      </c>
    </row>
    <row r="68" spans="1:18" x14ac:dyDescent="0.25">
      <c r="A68" s="85">
        <v>1</v>
      </c>
      <c r="B68" s="149">
        <f t="shared" si="4"/>
        <v>45658</v>
      </c>
      <c r="C68" s="162">
        <f t="shared" ref="C68:D79" si="21">+C56</f>
        <v>45693</v>
      </c>
      <c r="D68" s="162">
        <f t="shared" si="21"/>
        <v>45712</v>
      </c>
      <c r="E68" s="150" t="s">
        <v>85</v>
      </c>
      <c r="F68" s="85">
        <v>9</v>
      </c>
      <c r="G68" s="151">
        <v>47</v>
      </c>
      <c r="H68" s="152">
        <f t="shared" si="5"/>
        <v>0.24830327934112015</v>
      </c>
      <c r="I68" s="152">
        <f t="shared" si="20"/>
        <v>0.50085767102457412</v>
      </c>
      <c r="J68" s="103">
        <f t="shared" si="2"/>
        <v>23.540310538154984</v>
      </c>
      <c r="K68" s="153">
        <f t="shared" si="11"/>
        <v>11.670254129032648</v>
      </c>
      <c r="L68" s="154">
        <f t="shared" si="19"/>
        <v>11.870056409122336</v>
      </c>
      <c r="M68" s="103">
        <f t="shared" si="7"/>
        <v>0.84991343537551955</v>
      </c>
      <c r="N68" s="155">
        <f t="shared" si="8"/>
        <v>12.719969844497856</v>
      </c>
      <c r="O68" s="103">
        <v>0</v>
      </c>
      <c r="P68" s="103">
        <v>0</v>
      </c>
      <c r="Q68" s="103">
        <v>0</v>
      </c>
      <c r="R68" s="155">
        <f t="shared" si="9"/>
        <v>12.719969844497856</v>
      </c>
    </row>
    <row r="69" spans="1:18" x14ac:dyDescent="0.25">
      <c r="A69" s="85">
        <v>2</v>
      </c>
      <c r="B69" s="149">
        <f t="shared" si="4"/>
        <v>45689</v>
      </c>
      <c r="C69" s="165">
        <f t="shared" si="21"/>
        <v>45721</v>
      </c>
      <c r="D69" s="165">
        <f t="shared" si="21"/>
        <v>45740</v>
      </c>
      <c r="E69" s="156" t="s">
        <v>85</v>
      </c>
      <c r="F69" s="85">
        <v>9</v>
      </c>
      <c r="G69" s="151">
        <v>57</v>
      </c>
      <c r="H69" s="152">
        <f t="shared" si="5"/>
        <v>0.24830327934112015</v>
      </c>
      <c r="I69" s="152">
        <f t="shared" si="20"/>
        <v>0.50085767102457412</v>
      </c>
      <c r="J69" s="103">
        <f t="shared" si="2"/>
        <v>28.548887248400725</v>
      </c>
      <c r="K69" s="153">
        <f t="shared" si="11"/>
        <v>14.153286922443849</v>
      </c>
      <c r="L69" s="154">
        <f t="shared" si="19"/>
        <v>14.395600325956876</v>
      </c>
      <c r="M69" s="103">
        <f t="shared" si="7"/>
        <v>1.0307460812000981</v>
      </c>
      <c r="N69" s="155">
        <f t="shared" si="8"/>
        <v>15.426346407156974</v>
      </c>
      <c r="O69" s="103">
        <v>0</v>
      </c>
      <c r="P69" s="103">
        <v>0</v>
      </c>
      <c r="Q69" s="103">
        <v>0</v>
      </c>
      <c r="R69" s="155">
        <f t="shared" si="9"/>
        <v>15.426346407156974</v>
      </c>
    </row>
    <row r="70" spans="1:18" x14ac:dyDescent="0.25">
      <c r="A70" s="85">
        <v>3</v>
      </c>
      <c r="B70" s="149">
        <f t="shared" si="4"/>
        <v>45717</v>
      </c>
      <c r="C70" s="165">
        <f t="shared" si="21"/>
        <v>45750</v>
      </c>
      <c r="D70" s="165">
        <f t="shared" si="21"/>
        <v>45771</v>
      </c>
      <c r="E70" s="156" t="s">
        <v>85</v>
      </c>
      <c r="F70" s="85">
        <v>9</v>
      </c>
      <c r="G70" s="151">
        <v>34</v>
      </c>
      <c r="H70" s="152">
        <f t="shared" si="5"/>
        <v>0.24830327934112015</v>
      </c>
      <c r="I70" s="152">
        <f t="shared" si="20"/>
        <v>0.50085767102457412</v>
      </c>
      <c r="J70" s="103">
        <f t="shared" si="2"/>
        <v>17.029160814835521</v>
      </c>
      <c r="K70" s="153">
        <f t="shared" si="11"/>
        <v>8.4423114975980855</v>
      </c>
      <c r="L70" s="154">
        <f>+J70-K70</f>
        <v>8.5868493172374354</v>
      </c>
      <c r="M70" s="103">
        <f t="shared" si="7"/>
        <v>0.61483099580356726</v>
      </c>
      <c r="N70" s="155">
        <f t="shared" si="8"/>
        <v>9.2016803130410025</v>
      </c>
      <c r="O70" s="103">
        <v>0</v>
      </c>
      <c r="P70" s="103">
        <v>0</v>
      </c>
      <c r="Q70" s="103">
        <v>0</v>
      </c>
      <c r="R70" s="155">
        <f t="shared" si="9"/>
        <v>9.2016803130410025</v>
      </c>
    </row>
    <row r="71" spans="1:18" x14ac:dyDescent="0.25">
      <c r="A71" s="85">
        <v>4</v>
      </c>
      <c r="B71" s="149">
        <f t="shared" si="4"/>
        <v>45748</v>
      </c>
      <c r="C71" s="165">
        <f t="shared" si="21"/>
        <v>45782</v>
      </c>
      <c r="D71" s="165">
        <f t="shared" si="21"/>
        <v>45803</v>
      </c>
      <c r="E71" s="156" t="s">
        <v>85</v>
      </c>
      <c r="F71" s="85">
        <v>9</v>
      </c>
      <c r="G71" s="151">
        <v>27</v>
      </c>
      <c r="H71" s="152">
        <f t="shared" si="5"/>
        <v>0.24830327934112015</v>
      </c>
      <c r="I71" s="152">
        <f t="shared" si="20"/>
        <v>0.50085767102457412</v>
      </c>
      <c r="J71" s="103">
        <f t="shared" si="2"/>
        <v>13.523157117663501</v>
      </c>
      <c r="K71" s="153">
        <f t="shared" si="11"/>
        <v>6.7041885422102441</v>
      </c>
      <c r="L71" s="154">
        <f t="shared" ref="L71:L79" si="22">+J71-K71</f>
        <v>6.8189685754532574</v>
      </c>
      <c r="M71" s="103">
        <f t="shared" si="7"/>
        <v>0.48824814372636233</v>
      </c>
      <c r="N71" s="155">
        <f t="shared" si="8"/>
        <v>7.3072167191796193</v>
      </c>
      <c r="O71" s="103">
        <v>0</v>
      </c>
      <c r="P71" s="103">
        <v>0</v>
      </c>
      <c r="Q71" s="103">
        <v>0</v>
      </c>
      <c r="R71" s="155">
        <f t="shared" si="9"/>
        <v>7.3072167191796193</v>
      </c>
    </row>
    <row r="72" spans="1:18" x14ac:dyDescent="0.25">
      <c r="A72" s="85">
        <v>5</v>
      </c>
      <c r="B72" s="149">
        <f t="shared" si="4"/>
        <v>45778</v>
      </c>
      <c r="C72" s="165">
        <f t="shared" si="21"/>
        <v>45812</v>
      </c>
      <c r="D72" s="165">
        <f t="shared" si="21"/>
        <v>45832</v>
      </c>
      <c r="E72" s="156" t="s">
        <v>85</v>
      </c>
      <c r="F72" s="85">
        <v>9</v>
      </c>
      <c r="G72" s="151">
        <v>40</v>
      </c>
      <c r="H72" s="152">
        <f t="shared" si="5"/>
        <v>0.24830327934112015</v>
      </c>
      <c r="I72" s="152">
        <f t="shared" si="20"/>
        <v>0.50085767102457412</v>
      </c>
      <c r="J72" s="103">
        <f t="shared" si="2"/>
        <v>20.034306840982964</v>
      </c>
      <c r="K72" s="153">
        <f t="shared" si="11"/>
        <v>9.9321311736448052</v>
      </c>
      <c r="L72" s="154">
        <f t="shared" si="22"/>
        <v>10.102175667338159</v>
      </c>
      <c r="M72" s="103">
        <f t="shared" si="7"/>
        <v>0.72333058329831446</v>
      </c>
      <c r="N72" s="155">
        <f t="shared" si="8"/>
        <v>10.825506250636474</v>
      </c>
      <c r="O72" s="103">
        <v>0</v>
      </c>
      <c r="P72" s="103">
        <v>0</v>
      </c>
      <c r="Q72" s="103">
        <v>0</v>
      </c>
      <c r="R72" s="155">
        <f t="shared" si="9"/>
        <v>10.825506250636474</v>
      </c>
    </row>
    <row r="73" spans="1:18" x14ac:dyDescent="0.25">
      <c r="A73" s="85">
        <v>6</v>
      </c>
      <c r="B73" s="149">
        <f t="shared" si="4"/>
        <v>45809</v>
      </c>
      <c r="C73" s="165">
        <f t="shared" si="21"/>
        <v>45841</v>
      </c>
      <c r="D73" s="165">
        <f t="shared" si="21"/>
        <v>45862</v>
      </c>
      <c r="E73" s="156" t="s">
        <v>85</v>
      </c>
      <c r="F73" s="85">
        <v>9</v>
      </c>
      <c r="G73" s="151">
        <v>46</v>
      </c>
      <c r="H73" s="152">
        <f t="shared" si="5"/>
        <v>0.24830327934112015</v>
      </c>
      <c r="I73" s="152">
        <f t="shared" si="20"/>
        <v>0.50085767102457412</v>
      </c>
      <c r="J73" s="103">
        <f t="shared" si="2"/>
        <v>23.039452867130411</v>
      </c>
      <c r="K73" s="153">
        <f t="shared" si="11"/>
        <v>11.421950849691527</v>
      </c>
      <c r="L73" s="154">
        <f t="shared" si="22"/>
        <v>11.617502017438884</v>
      </c>
      <c r="M73" s="103">
        <f t="shared" si="7"/>
        <v>0.83183017079306176</v>
      </c>
      <c r="N73" s="155">
        <f t="shared" si="8"/>
        <v>12.449332188231946</v>
      </c>
      <c r="O73" s="103">
        <v>0</v>
      </c>
      <c r="P73" s="103">
        <v>0</v>
      </c>
      <c r="Q73" s="103">
        <v>0</v>
      </c>
      <c r="R73" s="155">
        <f t="shared" si="9"/>
        <v>12.449332188231946</v>
      </c>
    </row>
    <row r="74" spans="1:18" x14ac:dyDescent="0.25">
      <c r="A74" s="85">
        <v>7</v>
      </c>
      <c r="B74" s="149">
        <f t="shared" si="4"/>
        <v>45839</v>
      </c>
      <c r="C74" s="165">
        <f t="shared" si="21"/>
        <v>45874</v>
      </c>
      <c r="D74" s="165">
        <f t="shared" si="21"/>
        <v>45894</v>
      </c>
      <c r="E74" s="156" t="s">
        <v>85</v>
      </c>
      <c r="F74" s="85">
        <v>9</v>
      </c>
      <c r="G74" s="151">
        <v>55</v>
      </c>
      <c r="H74" s="152">
        <f t="shared" si="5"/>
        <v>0.24830327934112015</v>
      </c>
      <c r="I74" s="152">
        <f t="shared" si="20"/>
        <v>0.50085767102457412</v>
      </c>
      <c r="J74" s="103">
        <f t="shared" si="2"/>
        <v>27.547171906351576</v>
      </c>
      <c r="K74" s="153">
        <f t="shared" si="11"/>
        <v>13.656680363761609</v>
      </c>
      <c r="L74" s="154">
        <f t="shared" si="22"/>
        <v>13.890491542589967</v>
      </c>
      <c r="M74" s="103">
        <f t="shared" si="7"/>
        <v>0.99457955203518256</v>
      </c>
      <c r="N74" s="155">
        <f t="shared" si="8"/>
        <v>14.885071094625149</v>
      </c>
      <c r="O74" s="103">
        <v>0</v>
      </c>
      <c r="P74" s="103">
        <v>0</v>
      </c>
      <c r="Q74" s="103">
        <v>0</v>
      </c>
      <c r="R74" s="155">
        <f t="shared" si="9"/>
        <v>14.885071094625149</v>
      </c>
    </row>
    <row r="75" spans="1:18" x14ac:dyDescent="0.25">
      <c r="A75" s="85">
        <v>8</v>
      </c>
      <c r="B75" s="149">
        <f t="shared" si="4"/>
        <v>45870</v>
      </c>
      <c r="C75" s="165">
        <f t="shared" si="21"/>
        <v>45904</v>
      </c>
      <c r="D75" s="165">
        <f t="shared" si="21"/>
        <v>45924</v>
      </c>
      <c r="E75" s="156" t="s">
        <v>85</v>
      </c>
      <c r="F75" s="85">
        <v>9</v>
      </c>
      <c r="G75" s="151">
        <v>55</v>
      </c>
      <c r="H75" s="152">
        <f t="shared" si="5"/>
        <v>0.24830327934112015</v>
      </c>
      <c r="I75" s="152">
        <f t="shared" si="20"/>
        <v>0.50085767102457412</v>
      </c>
      <c r="J75" s="103">
        <f t="shared" si="2"/>
        <v>27.547171906351576</v>
      </c>
      <c r="K75" s="153">
        <f t="shared" si="11"/>
        <v>13.656680363761609</v>
      </c>
      <c r="L75" s="154">
        <f t="shared" si="22"/>
        <v>13.890491542589967</v>
      </c>
      <c r="M75" s="103">
        <f t="shared" si="7"/>
        <v>0.99457955203518256</v>
      </c>
      <c r="N75" s="155">
        <f t="shared" si="8"/>
        <v>14.885071094625149</v>
      </c>
      <c r="O75" s="103">
        <v>0</v>
      </c>
      <c r="P75" s="103">
        <v>0</v>
      </c>
      <c r="Q75" s="103">
        <v>0</v>
      </c>
      <c r="R75" s="155">
        <f t="shared" si="9"/>
        <v>14.885071094625149</v>
      </c>
    </row>
    <row r="76" spans="1:18" x14ac:dyDescent="0.25">
      <c r="A76" s="85">
        <v>9</v>
      </c>
      <c r="B76" s="149">
        <f t="shared" si="4"/>
        <v>45901</v>
      </c>
      <c r="C76" s="165">
        <f t="shared" si="21"/>
        <v>45933</v>
      </c>
      <c r="D76" s="165">
        <f t="shared" si="21"/>
        <v>45954</v>
      </c>
      <c r="E76" s="156" t="s">
        <v>85</v>
      </c>
      <c r="F76" s="85">
        <v>9</v>
      </c>
      <c r="G76" s="151">
        <v>44</v>
      </c>
      <c r="H76" s="152">
        <f t="shared" si="5"/>
        <v>0.24830327934112015</v>
      </c>
      <c r="I76" s="152">
        <f t="shared" si="20"/>
        <v>0.50085767102457412</v>
      </c>
      <c r="J76" s="103">
        <f t="shared" si="2"/>
        <v>22.037737525081262</v>
      </c>
      <c r="K76" s="153">
        <f t="shared" si="11"/>
        <v>10.925344291009287</v>
      </c>
      <c r="L76" s="154">
        <f t="shared" si="22"/>
        <v>11.112393234071975</v>
      </c>
      <c r="M76" s="103">
        <f t="shared" si="7"/>
        <v>0.79566364162814607</v>
      </c>
      <c r="N76" s="155">
        <f t="shared" si="8"/>
        <v>11.908056875700121</v>
      </c>
      <c r="O76" s="103">
        <v>0</v>
      </c>
      <c r="P76" s="103">
        <v>0</v>
      </c>
      <c r="Q76" s="103">
        <v>0</v>
      </c>
      <c r="R76" s="155">
        <f t="shared" si="9"/>
        <v>11.908056875700121</v>
      </c>
    </row>
    <row r="77" spans="1:18" x14ac:dyDescent="0.25">
      <c r="A77" s="85">
        <v>10</v>
      </c>
      <c r="B77" s="149">
        <f t="shared" si="4"/>
        <v>45931</v>
      </c>
      <c r="C77" s="165">
        <f t="shared" si="21"/>
        <v>45966</v>
      </c>
      <c r="D77" s="165">
        <f t="shared" si="21"/>
        <v>45985</v>
      </c>
      <c r="E77" s="156" t="s">
        <v>85</v>
      </c>
      <c r="F77" s="85">
        <v>9</v>
      </c>
      <c r="G77" s="151">
        <v>34</v>
      </c>
      <c r="H77" s="152">
        <f t="shared" si="5"/>
        <v>0.24830327934112015</v>
      </c>
      <c r="I77" s="152">
        <f t="shared" si="20"/>
        <v>0.50085767102457412</v>
      </c>
      <c r="J77" s="103">
        <f t="shared" si="2"/>
        <v>17.029160814835521</v>
      </c>
      <c r="K77" s="153">
        <f t="shared" si="11"/>
        <v>8.4423114975980855</v>
      </c>
      <c r="L77" s="154">
        <f t="shared" si="22"/>
        <v>8.5868493172374354</v>
      </c>
      <c r="M77" s="103">
        <f t="shared" si="7"/>
        <v>0.61483099580356726</v>
      </c>
      <c r="N77" s="155">
        <f t="shared" si="8"/>
        <v>9.2016803130410025</v>
      </c>
      <c r="O77" s="103">
        <v>0</v>
      </c>
      <c r="P77" s="103">
        <v>0</v>
      </c>
      <c r="Q77" s="103">
        <v>0</v>
      </c>
      <c r="R77" s="155">
        <f t="shared" si="9"/>
        <v>9.2016803130410025</v>
      </c>
    </row>
    <row r="78" spans="1:18" x14ac:dyDescent="0.25">
      <c r="A78" s="85">
        <v>11</v>
      </c>
      <c r="B78" s="149">
        <f t="shared" si="4"/>
        <v>45962</v>
      </c>
      <c r="C78" s="165">
        <f t="shared" si="21"/>
        <v>45994</v>
      </c>
      <c r="D78" s="165">
        <f t="shared" si="21"/>
        <v>46015</v>
      </c>
      <c r="E78" s="156" t="s">
        <v>85</v>
      </c>
      <c r="F78" s="85">
        <v>9</v>
      </c>
      <c r="G78" s="151">
        <v>35</v>
      </c>
      <c r="H78" s="152">
        <f t="shared" si="5"/>
        <v>0.24830327934112015</v>
      </c>
      <c r="I78" s="152">
        <f t="shared" si="20"/>
        <v>0.50085767102457412</v>
      </c>
      <c r="J78" s="103">
        <f t="shared" si="2"/>
        <v>17.530018485860094</v>
      </c>
      <c r="K78" s="153">
        <f>+$G78*H78</f>
        <v>8.6906147769392046</v>
      </c>
      <c r="L78" s="154">
        <f t="shared" si="22"/>
        <v>8.839403708920889</v>
      </c>
      <c r="M78" s="103">
        <f t="shared" si="7"/>
        <v>0.63291426038602527</v>
      </c>
      <c r="N78" s="155">
        <f t="shared" si="8"/>
        <v>9.4723179693069142</v>
      </c>
      <c r="O78" s="103">
        <v>0</v>
      </c>
      <c r="P78" s="103">
        <v>0</v>
      </c>
      <c r="Q78" s="103">
        <v>0</v>
      </c>
      <c r="R78" s="155">
        <f t="shared" si="9"/>
        <v>9.4723179693069142</v>
      </c>
    </row>
    <row r="79" spans="1:18" s="169" customFormat="1" x14ac:dyDescent="0.25">
      <c r="A79" s="85">
        <v>12</v>
      </c>
      <c r="B79" s="167">
        <f t="shared" si="4"/>
        <v>45992</v>
      </c>
      <c r="C79" s="170">
        <f t="shared" si="21"/>
        <v>46028</v>
      </c>
      <c r="D79" s="170">
        <f t="shared" si="21"/>
        <v>46048</v>
      </c>
      <c r="E79" s="171" t="s">
        <v>85</v>
      </c>
      <c r="F79" s="126">
        <v>9</v>
      </c>
      <c r="G79" s="207">
        <v>39</v>
      </c>
      <c r="H79" s="157">
        <f t="shared" si="5"/>
        <v>0.24830327934112015</v>
      </c>
      <c r="I79" s="157">
        <f t="shared" si="20"/>
        <v>0.50085767102457412</v>
      </c>
      <c r="J79" s="158">
        <f t="shared" si="2"/>
        <v>19.533449169958391</v>
      </c>
      <c r="K79" s="159">
        <f>+$G79*H79</f>
        <v>9.6838278943036862</v>
      </c>
      <c r="L79" s="160">
        <f t="shared" si="22"/>
        <v>9.8496212756547052</v>
      </c>
      <c r="M79" s="158">
        <f t="shared" si="7"/>
        <v>0.70524731871585666</v>
      </c>
      <c r="N79" s="208">
        <f t="shared" si="8"/>
        <v>10.554868594370562</v>
      </c>
      <c r="O79" s="158">
        <v>0</v>
      </c>
      <c r="P79" s="158">
        <v>0</v>
      </c>
      <c r="Q79" s="158">
        <v>0</v>
      </c>
      <c r="R79" s="208">
        <f t="shared" si="9"/>
        <v>10.554868594370562</v>
      </c>
    </row>
    <row r="80" spans="1:18" ht="12.75" customHeight="1" x14ac:dyDescent="0.25">
      <c r="A80" s="85">
        <v>1</v>
      </c>
      <c r="B80" s="149">
        <f t="shared" si="4"/>
        <v>45658</v>
      </c>
      <c r="C80" s="162">
        <f t="shared" ref="C80:D91" si="23">+C56</f>
        <v>45693</v>
      </c>
      <c r="D80" s="162">
        <f t="shared" si="23"/>
        <v>45712</v>
      </c>
      <c r="E80" s="150" t="s">
        <v>9</v>
      </c>
      <c r="F80" s="85">
        <v>9</v>
      </c>
      <c r="G80" s="151">
        <v>67</v>
      </c>
      <c r="H80" s="152">
        <f t="shared" si="5"/>
        <v>0.24830327934112015</v>
      </c>
      <c r="I80" s="152">
        <f t="shared" si="20"/>
        <v>0.50085767102457412</v>
      </c>
      <c r="J80" s="103">
        <f t="shared" si="2"/>
        <v>33.557463958646466</v>
      </c>
      <c r="K80" s="153">
        <f t="shared" si="11"/>
        <v>16.636319715855048</v>
      </c>
      <c r="L80" s="154">
        <f t="shared" si="19"/>
        <v>16.921144242791417</v>
      </c>
      <c r="M80" s="103">
        <f t="shared" si="7"/>
        <v>1.2115787270246769</v>
      </c>
      <c r="N80" s="155">
        <f t="shared" si="8"/>
        <v>18.132722969816093</v>
      </c>
      <c r="O80" s="103">
        <v>0</v>
      </c>
      <c r="P80" s="103">
        <v>0</v>
      </c>
      <c r="Q80" s="103">
        <v>0</v>
      </c>
      <c r="R80" s="155">
        <f t="shared" si="9"/>
        <v>18.132722969816093</v>
      </c>
    </row>
    <row r="81" spans="1:18" x14ac:dyDescent="0.25">
      <c r="A81" s="85">
        <v>2</v>
      </c>
      <c r="B81" s="149">
        <f t="shared" si="4"/>
        <v>45689</v>
      </c>
      <c r="C81" s="165">
        <f t="shared" si="23"/>
        <v>45721</v>
      </c>
      <c r="D81" s="165">
        <f t="shared" si="23"/>
        <v>45740</v>
      </c>
      <c r="E81" s="156" t="s">
        <v>9</v>
      </c>
      <c r="F81" s="85">
        <v>9</v>
      </c>
      <c r="G81" s="151">
        <v>71</v>
      </c>
      <c r="H81" s="152">
        <f t="shared" si="5"/>
        <v>0.24830327934112015</v>
      </c>
      <c r="I81" s="152">
        <f t="shared" si="20"/>
        <v>0.50085767102457412</v>
      </c>
      <c r="J81" s="103">
        <f t="shared" si="2"/>
        <v>35.560894642744763</v>
      </c>
      <c r="K81" s="153">
        <f t="shared" si="11"/>
        <v>17.629532833219532</v>
      </c>
      <c r="L81" s="154">
        <f t="shared" si="19"/>
        <v>17.931361809525232</v>
      </c>
      <c r="M81" s="103">
        <f t="shared" si="7"/>
        <v>1.2839117853545083</v>
      </c>
      <c r="N81" s="155">
        <f t="shared" si="8"/>
        <v>19.21527359487974</v>
      </c>
      <c r="O81" s="103">
        <v>0</v>
      </c>
      <c r="P81" s="103">
        <v>0</v>
      </c>
      <c r="Q81" s="103">
        <v>0</v>
      </c>
      <c r="R81" s="155">
        <f t="shared" si="9"/>
        <v>19.21527359487974</v>
      </c>
    </row>
    <row r="82" spans="1:18" x14ac:dyDescent="0.25">
      <c r="A82" s="85">
        <v>3</v>
      </c>
      <c r="B82" s="149">
        <f t="shared" si="4"/>
        <v>45717</v>
      </c>
      <c r="C82" s="165">
        <f t="shared" si="23"/>
        <v>45750</v>
      </c>
      <c r="D82" s="165">
        <f t="shared" si="23"/>
        <v>45771</v>
      </c>
      <c r="E82" s="156" t="s">
        <v>9</v>
      </c>
      <c r="F82" s="85">
        <v>9</v>
      </c>
      <c r="G82" s="151">
        <v>49</v>
      </c>
      <c r="H82" s="152">
        <f t="shared" si="5"/>
        <v>0.24830327934112015</v>
      </c>
      <c r="I82" s="152">
        <f t="shared" si="20"/>
        <v>0.50085767102457412</v>
      </c>
      <c r="J82" s="103">
        <f t="shared" si="2"/>
        <v>24.542025880204132</v>
      </c>
      <c r="K82" s="153">
        <f t="shared" si="11"/>
        <v>12.166860687714887</v>
      </c>
      <c r="L82" s="154">
        <f>+J82-K82</f>
        <v>12.375165192489245</v>
      </c>
      <c r="M82" s="103">
        <f t="shared" si="7"/>
        <v>0.88607996454043525</v>
      </c>
      <c r="N82" s="155">
        <f t="shared" si="8"/>
        <v>13.261245157029681</v>
      </c>
      <c r="O82" s="103">
        <v>0</v>
      </c>
      <c r="P82" s="103">
        <v>0</v>
      </c>
      <c r="Q82" s="103">
        <v>0</v>
      </c>
      <c r="R82" s="155">
        <f t="shared" si="9"/>
        <v>13.261245157029681</v>
      </c>
    </row>
    <row r="83" spans="1:18" ht="12" customHeight="1" x14ac:dyDescent="0.25">
      <c r="A83" s="85">
        <v>4</v>
      </c>
      <c r="B83" s="149">
        <f t="shared" si="4"/>
        <v>45748</v>
      </c>
      <c r="C83" s="165">
        <f t="shared" si="23"/>
        <v>45782</v>
      </c>
      <c r="D83" s="165">
        <f t="shared" si="23"/>
        <v>45803</v>
      </c>
      <c r="E83" s="1" t="s">
        <v>9</v>
      </c>
      <c r="F83" s="85">
        <v>9</v>
      </c>
      <c r="G83" s="151">
        <v>37</v>
      </c>
      <c r="H83" s="152">
        <f t="shared" si="5"/>
        <v>0.24830327934112015</v>
      </c>
      <c r="I83" s="152">
        <f t="shared" si="20"/>
        <v>0.50085767102457412</v>
      </c>
      <c r="J83" s="103">
        <f t="shared" si="2"/>
        <v>18.531733827909243</v>
      </c>
      <c r="K83" s="153">
        <f t="shared" si="11"/>
        <v>9.1872213356214463</v>
      </c>
      <c r="L83" s="154">
        <f t="shared" ref="L83:L93" si="24">+J83-K83</f>
        <v>9.3445124922877962</v>
      </c>
      <c r="M83" s="103">
        <f t="shared" si="7"/>
        <v>0.66908078955094097</v>
      </c>
      <c r="N83" s="155">
        <f t="shared" si="8"/>
        <v>10.013593281838737</v>
      </c>
      <c r="O83" s="103">
        <v>0</v>
      </c>
      <c r="P83" s="103">
        <v>0</v>
      </c>
      <c r="Q83" s="103">
        <v>0</v>
      </c>
      <c r="R83" s="155">
        <f t="shared" si="9"/>
        <v>10.013593281838737</v>
      </c>
    </row>
    <row r="84" spans="1:18" ht="12" customHeight="1" x14ac:dyDescent="0.25">
      <c r="A84" s="85">
        <v>5</v>
      </c>
      <c r="B84" s="149">
        <f t="shared" si="4"/>
        <v>45778</v>
      </c>
      <c r="C84" s="165">
        <f t="shared" si="23"/>
        <v>45812</v>
      </c>
      <c r="D84" s="165">
        <f t="shared" si="23"/>
        <v>45832</v>
      </c>
      <c r="E84" s="1" t="s">
        <v>9</v>
      </c>
      <c r="F84" s="85">
        <v>9</v>
      </c>
      <c r="G84" s="151">
        <v>50</v>
      </c>
      <c r="H84" s="152">
        <f t="shared" si="5"/>
        <v>0.24830327934112015</v>
      </c>
      <c r="I84" s="152">
        <f t="shared" si="20"/>
        <v>0.50085767102457412</v>
      </c>
      <c r="J84" s="103">
        <f t="shared" si="2"/>
        <v>25.042883551228705</v>
      </c>
      <c r="K84" s="153">
        <f t="shared" si="11"/>
        <v>12.415163967056007</v>
      </c>
      <c r="L84" s="154">
        <f t="shared" si="24"/>
        <v>12.627719584172699</v>
      </c>
      <c r="M84" s="103">
        <f t="shared" si="7"/>
        <v>0.90416322912289315</v>
      </c>
      <c r="N84" s="155">
        <f t="shared" si="8"/>
        <v>13.531882813295592</v>
      </c>
      <c r="O84" s="103">
        <v>0</v>
      </c>
      <c r="P84" s="103">
        <v>0</v>
      </c>
      <c r="Q84" s="103">
        <v>0</v>
      </c>
      <c r="R84" s="155">
        <f t="shared" si="9"/>
        <v>13.531882813295592</v>
      </c>
    </row>
    <row r="85" spans="1:18" x14ac:dyDescent="0.25">
      <c r="A85" s="85">
        <v>6</v>
      </c>
      <c r="B85" s="149">
        <f t="shared" si="4"/>
        <v>45809</v>
      </c>
      <c r="C85" s="165">
        <f t="shared" si="23"/>
        <v>45841</v>
      </c>
      <c r="D85" s="165">
        <f t="shared" si="23"/>
        <v>45862</v>
      </c>
      <c r="E85" s="1" t="s">
        <v>9</v>
      </c>
      <c r="F85" s="85">
        <v>9</v>
      </c>
      <c r="G85" s="151">
        <v>54</v>
      </c>
      <c r="H85" s="152">
        <f t="shared" ref="H85:H148" si="25">+$K$3</f>
        <v>0.24830327934112015</v>
      </c>
      <c r="I85" s="152">
        <f t="shared" si="20"/>
        <v>0.50085767102457412</v>
      </c>
      <c r="J85" s="103">
        <f t="shared" si="2"/>
        <v>27.046314235327003</v>
      </c>
      <c r="K85" s="153">
        <f t="shared" si="11"/>
        <v>13.408377084420488</v>
      </c>
      <c r="L85" s="154">
        <f t="shared" si="24"/>
        <v>13.637937150906515</v>
      </c>
      <c r="M85" s="103">
        <f t="shared" ref="M85:M148" si="26">G85/$G$212*$M$14</f>
        <v>0.97649628745272465</v>
      </c>
      <c r="N85" s="155">
        <f t="shared" ref="N85:N148" si="27">SUM(L85:M85)</f>
        <v>14.614433438359239</v>
      </c>
      <c r="O85" s="103">
        <v>0</v>
      </c>
      <c r="P85" s="103">
        <v>0</v>
      </c>
      <c r="Q85" s="103">
        <v>0</v>
      </c>
      <c r="R85" s="155">
        <f t="shared" ref="R85:R148" si="28">+N85-Q85</f>
        <v>14.614433438359239</v>
      </c>
    </row>
    <row r="86" spans="1:18" x14ac:dyDescent="0.25">
      <c r="A86" s="85">
        <v>7</v>
      </c>
      <c r="B86" s="149">
        <f t="shared" si="4"/>
        <v>45839</v>
      </c>
      <c r="C86" s="165">
        <f t="shared" si="23"/>
        <v>45874</v>
      </c>
      <c r="D86" s="165">
        <f t="shared" si="23"/>
        <v>45894</v>
      </c>
      <c r="E86" s="1" t="s">
        <v>9</v>
      </c>
      <c r="F86" s="85">
        <v>9</v>
      </c>
      <c r="G86" s="151">
        <v>62</v>
      </c>
      <c r="H86" s="152">
        <f t="shared" si="25"/>
        <v>0.24830327934112015</v>
      </c>
      <c r="I86" s="152">
        <f t="shared" si="20"/>
        <v>0.50085767102457412</v>
      </c>
      <c r="J86" s="103">
        <f t="shared" si="2"/>
        <v>31.053175603523595</v>
      </c>
      <c r="K86" s="153">
        <f t="shared" si="11"/>
        <v>15.39480331914945</v>
      </c>
      <c r="L86" s="154">
        <f t="shared" si="24"/>
        <v>15.658372284374146</v>
      </c>
      <c r="M86" s="103">
        <f t="shared" si="26"/>
        <v>1.1211624041123875</v>
      </c>
      <c r="N86" s="155">
        <f t="shared" si="27"/>
        <v>16.779534688486532</v>
      </c>
      <c r="O86" s="103">
        <v>0</v>
      </c>
      <c r="P86" s="103">
        <v>0</v>
      </c>
      <c r="Q86" s="103">
        <v>0</v>
      </c>
      <c r="R86" s="155">
        <f t="shared" si="28"/>
        <v>16.779534688486532</v>
      </c>
    </row>
    <row r="87" spans="1:18" x14ac:dyDescent="0.25">
      <c r="A87" s="85">
        <v>8</v>
      </c>
      <c r="B87" s="149">
        <f t="shared" si="4"/>
        <v>45870</v>
      </c>
      <c r="C87" s="165">
        <f t="shared" si="23"/>
        <v>45904</v>
      </c>
      <c r="D87" s="165">
        <f t="shared" si="23"/>
        <v>45924</v>
      </c>
      <c r="E87" s="1" t="s">
        <v>9</v>
      </c>
      <c r="F87" s="85">
        <v>9</v>
      </c>
      <c r="G87" s="151">
        <v>55</v>
      </c>
      <c r="H87" s="152">
        <f t="shared" si="25"/>
        <v>0.24830327934112015</v>
      </c>
      <c r="I87" s="152">
        <f t="shared" si="20"/>
        <v>0.50085767102457412</v>
      </c>
      <c r="J87" s="103">
        <f t="shared" si="2"/>
        <v>27.547171906351576</v>
      </c>
      <c r="K87" s="153">
        <f t="shared" si="11"/>
        <v>13.656680363761609</v>
      </c>
      <c r="L87" s="154">
        <f t="shared" si="24"/>
        <v>13.890491542589967</v>
      </c>
      <c r="M87" s="103">
        <f t="shared" si="26"/>
        <v>0.99457955203518256</v>
      </c>
      <c r="N87" s="155">
        <f t="shared" si="27"/>
        <v>14.885071094625149</v>
      </c>
      <c r="O87" s="103">
        <v>0</v>
      </c>
      <c r="P87" s="103">
        <v>0</v>
      </c>
      <c r="Q87" s="103">
        <v>0</v>
      </c>
      <c r="R87" s="155">
        <f t="shared" si="28"/>
        <v>14.885071094625149</v>
      </c>
    </row>
    <row r="88" spans="1:18" x14ac:dyDescent="0.25">
      <c r="A88" s="85">
        <v>9</v>
      </c>
      <c r="B88" s="149">
        <f t="shared" si="4"/>
        <v>45901</v>
      </c>
      <c r="C88" s="165">
        <f t="shared" si="23"/>
        <v>45933</v>
      </c>
      <c r="D88" s="165">
        <f t="shared" si="23"/>
        <v>45954</v>
      </c>
      <c r="E88" s="1" t="s">
        <v>9</v>
      </c>
      <c r="F88" s="85">
        <v>9</v>
      </c>
      <c r="G88" s="151">
        <v>50</v>
      </c>
      <c r="H88" s="152">
        <f t="shared" si="25"/>
        <v>0.24830327934112015</v>
      </c>
      <c r="I88" s="152">
        <f t="shared" si="20"/>
        <v>0.50085767102457412</v>
      </c>
      <c r="J88" s="103">
        <f t="shared" si="2"/>
        <v>25.042883551228705</v>
      </c>
      <c r="K88" s="153">
        <f t="shared" si="11"/>
        <v>12.415163967056007</v>
      </c>
      <c r="L88" s="154">
        <f t="shared" si="24"/>
        <v>12.627719584172699</v>
      </c>
      <c r="M88" s="103">
        <f t="shared" si="26"/>
        <v>0.90416322912289315</v>
      </c>
      <c r="N88" s="155">
        <f t="shared" si="27"/>
        <v>13.531882813295592</v>
      </c>
      <c r="O88" s="103">
        <v>0</v>
      </c>
      <c r="P88" s="103">
        <v>0</v>
      </c>
      <c r="Q88" s="103">
        <v>0</v>
      </c>
      <c r="R88" s="155">
        <f t="shared" si="28"/>
        <v>13.531882813295592</v>
      </c>
    </row>
    <row r="89" spans="1:18" x14ac:dyDescent="0.25">
      <c r="A89" s="85">
        <v>10</v>
      </c>
      <c r="B89" s="149">
        <f t="shared" si="4"/>
        <v>45931</v>
      </c>
      <c r="C89" s="165">
        <f t="shared" si="23"/>
        <v>45966</v>
      </c>
      <c r="D89" s="165">
        <f t="shared" si="23"/>
        <v>45985</v>
      </c>
      <c r="E89" s="1" t="s">
        <v>9</v>
      </c>
      <c r="F89" s="85">
        <v>9</v>
      </c>
      <c r="G89" s="151">
        <v>47</v>
      </c>
      <c r="H89" s="152">
        <f t="shared" si="25"/>
        <v>0.24830327934112015</v>
      </c>
      <c r="I89" s="152">
        <f t="shared" si="20"/>
        <v>0.50085767102457412</v>
      </c>
      <c r="J89" s="103">
        <f t="shared" si="2"/>
        <v>23.540310538154984</v>
      </c>
      <c r="K89" s="153">
        <f t="shared" si="11"/>
        <v>11.670254129032648</v>
      </c>
      <c r="L89" s="154">
        <f t="shared" si="24"/>
        <v>11.870056409122336</v>
      </c>
      <c r="M89" s="103">
        <f t="shared" si="26"/>
        <v>0.84991343537551955</v>
      </c>
      <c r="N89" s="155">
        <f t="shared" si="27"/>
        <v>12.719969844497856</v>
      </c>
      <c r="O89" s="103">
        <v>0</v>
      </c>
      <c r="P89" s="103">
        <v>0</v>
      </c>
      <c r="Q89" s="103">
        <v>0</v>
      </c>
      <c r="R89" s="155">
        <f t="shared" si="28"/>
        <v>12.719969844497856</v>
      </c>
    </row>
    <row r="90" spans="1:18" x14ac:dyDescent="0.25">
      <c r="A90" s="85">
        <v>11</v>
      </c>
      <c r="B90" s="149">
        <f t="shared" si="4"/>
        <v>45962</v>
      </c>
      <c r="C90" s="165">
        <f t="shared" si="23"/>
        <v>45994</v>
      </c>
      <c r="D90" s="165">
        <f t="shared" si="23"/>
        <v>46015</v>
      </c>
      <c r="E90" s="1" t="s">
        <v>9</v>
      </c>
      <c r="F90" s="85">
        <v>9</v>
      </c>
      <c r="G90" s="151">
        <v>48</v>
      </c>
      <c r="H90" s="152">
        <f t="shared" si="25"/>
        <v>0.24830327934112015</v>
      </c>
      <c r="I90" s="152">
        <f t="shared" si="20"/>
        <v>0.50085767102457412</v>
      </c>
      <c r="J90" s="103">
        <f t="shared" si="2"/>
        <v>24.04116820917956</v>
      </c>
      <c r="K90" s="153">
        <f t="shared" si="11"/>
        <v>11.918557408373767</v>
      </c>
      <c r="L90" s="154">
        <f t="shared" si="24"/>
        <v>12.122610800805793</v>
      </c>
      <c r="M90" s="103">
        <f t="shared" si="26"/>
        <v>0.86799669995797746</v>
      </c>
      <c r="N90" s="155">
        <f t="shared" si="27"/>
        <v>12.990607500763771</v>
      </c>
      <c r="O90" s="103">
        <v>0</v>
      </c>
      <c r="P90" s="103">
        <v>0</v>
      </c>
      <c r="Q90" s="103">
        <v>0</v>
      </c>
      <c r="R90" s="155">
        <f t="shared" si="28"/>
        <v>12.990607500763771</v>
      </c>
    </row>
    <row r="91" spans="1:18" s="169" customFormat="1" x14ac:dyDescent="0.25">
      <c r="A91" s="85">
        <v>12</v>
      </c>
      <c r="B91" s="167">
        <f t="shared" si="4"/>
        <v>45992</v>
      </c>
      <c r="C91" s="165">
        <f t="shared" si="23"/>
        <v>46028</v>
      </c>
      <c r="D91" s="165">
        <f t="shared" si="23"/>
        <v>46048</v>
      </c>
      <c r="E91" s="168" t="s">
        <v>9</v>
      </c>
      <c r="F91" s="126">
        <v>9</v>
      </c>
      <c r="G91" s="151">
        <v>58</v>
      </c>
      <c r="H91" s="157">
        <f t="shared" si="25"/>
        <v>0.24830327934112015</v>
      </c>
      <c r="I91" s="157">
        <f t="shared" si="20"/>
        <v>0.50085767102457412</v>
      </c>
      <c r="J91" s="158">
        <f t="shared" si="2"/>
        <v>29.049744919425301</v>
      </c>
      <c r="K91" s="159">
        <f t="shared" si="11"/>
        <v>14.401590201784968</v>
      </c>
      <c r="L91" s="160">
        <f t="shared" si="24"/>
        <v>14.648154717640333</v>
      </c>
      <c r="M91" s="103">
        <f t="shared" si="26"/>
        <v>1.0488293457825562</v>
      </c>
      <c r="N91" s="155">
        <f t="shared" si="27"/>
        <v>15.696984063422889</v>
      </c>
      <c r="O91" s="103">
        <v>0</v>
      </c>
      <c r="P91" s="103">
        <v>0</v>
      </c>
      <c r="Q91" s="103">
        <v>0</v>
      </c>
      <c r="R91" s="155">
        <f t="shared" si="28"/>
        <v>15.696984063422889</v>
      </c>
    </row>
    <row r="92" spans="1:18" x14ac:dyDescent="0.25">
      <c r="A92" s="85">
        <v>1</v>
      </c>
      <c r="B92" s="149">
        <f t="shared" si="4"/>
        <v>45658</v>
      </c>
      <c r="C92" s="162">
        <f t="shared" ref="C92:D95" si="29">+C80</f>
        <v>45693</v>
      </c>
      <c r="D92" s="162">
        <f t="shared" si="29"/>
        <v>45712</v>
      </c>
      <c r="E92" s="150" t="s">
        <v>8</v>
      </c>
      <c r="F92" s="85">
        <v>9</v>
      </c>
      <c r="G92" s="151">
        <v>89</v>
      </c>
      <c r="H92" s="152">
        <f t="shared" si="25"/>
        <v>0.24830327934112015</v>
      </c>
      <c r="I92" s="152">
        <f t="shared" si="20"/>
        <v>0.50085767102457412</v>
      </c>
      <c r="J92" s="103">
        <f t="shared" si="2"/>
        <v>44.5763327211871</v>
      </c>
      <c r="K92" s="153">
        <f t="shared" si="11"/>
        <v>22.098991861359693</v>
      </c>
      <c r="L92" s="154">
        <f t="shared" si="24"/>
        <v>22.477340859827407</v>
      </c>
      <c r="M92" s="103">
        <f t="shared" si="26"/>
        <v>1.6094105478387497</v>
      </c>
      <c r="N92" s="155">
        <f t="shared" si="27"/>
        <v>24.086751407666156</v>
      </c>
      <c r="O92" s="103">
        <v>0</v>
      </c>
      <c r="P92" s="103">
        <v>0</v>
      </c>
      <c r="Q92" s="103">
        <v>0</v>
      </c>
      <c r="R92" s="155">
        <f t="shared" si="28"/>
        <v>24.086751407666156</v>
      </c>
    </row>
    <row r="93" spans="1:18" x14ac:dyDescent="0.25">
      <c r="A93" s="85">
        <v>2</v>
      </c>
      <c r="B93" s="149">
        <f t="shared" si="4"/>
        <v>45689</v>
      </c>
      <c r="C93" s="165">
        <f t="shared" si="29"/>
        <v>45721</v>
      </c>
      <c r="D93" s="165">
        <f t="shared" si="29"/>
        <v>45740</v>
      </c>
      <c r="E93" s="156" t="s">
        <v>8</v>
      </c>
      <c r="F93" s="85">
        <v>9</v>
      </c>
      <c r="G93" s="151">
        <v>102</v>
      </c>
      <c r="H93" s="152">
        <f t="shared" si="25"/>
        <v>0.24830327934112015</v>
      </c>
      <c r="I93" s="152">
        <f t="shared" si="20"/>
        <v>0.50085767102457412</v>
      </c>
      <c r="J93" s="103">
        <f t="shared" si="2"/>
        <v>51.087482444506563</v>
      </c>
      <c r="K93" s="153">
        <f t="shared" si="11"/>
        <v>25.326934492794255</v>
      </c>
      <c r="L93" s="154">
        <f t="shared" si="24"/>
        <v>25.760547951712308</v>
      </c>
      <c r="M93" s="103">
        <f t="shared" si="26"/>
        <v>1.8444929874107021</v>
      </c>
      <c r="N93" s="155">
        <f t="shared" si="27"/>
        <v>27.605040939123011</v>
      </c>
      <c r="O93" s="103">
        <v>0</v>
      </c>
      <c r="P93" s="103">
        <v>0</v>
      </c>
      <c r="Q93" s="103">
        <v>0</v>
      </c>
      <c r="R93" s="155">
        <f t="shared" si="28"/>
        <v>27.605040939123011</v>
      </c>
    </row>
    <row r="94" spans="1:18" x14ac:dyDescent="0.25">
      <c r="A94" s="85">
        <v>3</v>
      </c>
      <c r="B94" s="149">
        <f t="shared" si="4"/>
        <v>45717</v>
      </c>
      <c r="C94" s="165">
        <f t="shared" si="29"/>
        <v>45750</v>
      </c>
      <c r="D94" s="165">
        <f t="shared" si="29"/>
        <v>45771</v>
      </c>
      <c r="E94" s="156" t="s">
        <v>8</v>
      </c>
      <c r="F94" s="85">
        <v>9</v>
      </c>
      <c r="G94" s="151">
        <v>64</v>
      </c>
      <c r="H94" s="152">
        <f t="shared" si="25"/>
        <v>0.24830327934112015</v>
      </c>
      <c r="I94" s="152">
        <f t="shared" si="20"/>
        <v>0.50085767102457412</v>
      </c>
      <c r="J94" s="103">
        <f t="shared" si="2"/>
        <v>32.054890945572744</v>
      </c>
      <c r="K94" s="153">
        <f t="shared" ref="K94:K133" si="30">+$G94*H94</f>
        <v>15.891409877831689</v>
      </c>
      <c r="L94" s="154">
        <f>+J94-K94</f>
        <v>16.163481067741053</v>
      </c>
      <c r="M94" s="103">
        <f t="shared" si="26"/>
        <v>1.1573289332773031</v>
      </c>
      <c r="N94" s="155">
        <f t="shared" si="27"/>
        <v>17.320810001018355</v>
      </c>
      <c r="O94" s="103">
        <v>0</v>
      </c>
      <c r="P94" s="103">
        <v>0</v>
      </c>
      <c r="Q94" s="103">
        <v>0</v>
      </c>
      <c r="R94" s="155">
        <f t="shared" si="28"/>
        <v>17.320810001018355</v>
      </c>
    </row>
    <row r="95" spans="1:18" x14ac:dyDescent="0.25">
      <c r="A95" s="85">
        <v>4</v>
      </c>
      <c r="B95" s="149">
        <f t="shared" si="4"/>
        <v>45748</v>
      </c>
      <c r="C95" s="165">
        <f t="shared" si="29"/>
        <v>45782</v>
      </c>
      <c r="D95" s="165">
        <f t="shared" si="29"/>
        <v>45803</v>
      </c>
      <c r="E95" s="156" t="s">
        <v>8</v>
      </c>
      <c r="F95" s="85">
        <v>9</v>
      </c>
      <c r="G95" s="151">
        <v>71</v>
      </c>
      <c r="H95" s="152">
        <f t="shared" si="25"/>
        <v>0.24830327934112015</v>
      </c>
      <c r="I95" s="152">
        <f t="shared" si="20"/>
        <v>0.50085767102457412</v>
      </c>
      <c r="J95" s="103">
        <f t="shared" si="2"/>
        <v>35.560894642744763</v>
      </c>
      <c r="K95" s="153">
        <f t="shared" si="30"/>
        <v>17.629532833219532</v>
      </c>
      <c r="L95" s="154">
        <f t="shared" ref="L95:L105" si="31">+J95-K95</f>
        <v>17.931361809525232</v>
      </c>
      <c r="M95" s="103">
        <f t="shared" si="26"/>
        <v>1.2839117853545083</v>
      </c>
      <c r="N95" s="155">
        <f t="shared" si="27"/>
        <v>19.21527359487974</v>
      </c>
      <c r="O95" s="103">
        <v>0</v>
      </c>
      <c r="P95" s="103">
        <v>0</v>
      </c>
      <c r="Q95" s="103">
        <v>0</v>
      </c>
      <c r="R95" s="155">
        <f t="shared" si="28"/>
        <v>19.21527359487974</v>
      </c>
    </row>
    <row r="96" spans="1:18" x14ac:dyDescent="0.25">
      <c r="A96" s="85">
        <v>5</v>
      </c>
      <c r="B96" s="149">
        <f t="shared" si="4"/>
        <v>45778</v>
      </c>
      <c r="C96" s="165">
        <f t="shared" ref="C96:D116" si="32">+C84</f>
        <v>45812</v>
      </c>
      <c r="D96" s="165">
        <f t="shared" si="32"/>
        <v>45832</v>
      </c>
      <c r="E96" s="1" t="s">
        <v>8</v>
      </c>
      <c r="F96" s="85">
        <v>9</v>
      </c>
      <c r="G96" s="151">
        <v>108</v>
      </c>
      <c r="H96" s="152">
        <f t="shared" si="25"/>
        <v>0.24830327934112015</v>
      </c>
      <c r="I96" s="152">
        <f t="shared" si="20"/>
        <v>0.50085767102457412</v>
      </c>
      <c r="J96" s="103">
        <f t="shared" si="2"/>
        <v>54.092628470654006</v>
      </c>
      <c r="K96" s="153">
        <f t="shared" si="30"/>
        <v>26.816754168840976</v>
      </c>
      <c r="L96" s="154">
        <f t="shared" si="31"/>
        <v>27.27587430181303</v>
      </c>
      <c r="M96" s="103">
        <f t="shared" si="26"/>
        <v>1.9529925749054493</v>
      </c>
      <c r="N96" s="155">
        <f t="shared" si="27"/>
        <v>29.228866876718477</v>
      </c>
      <c r="O96" s="103">
        <v>0</v>
      </c>
      <c r="P96" s="103">
        <v>0</v>
      </c>
      <c r="Q96" s="103">
        <v>0</v>
      </c>
      <c r="R96" s="155">
        <f t="shared" si="28"/>
        <v>29.228866876718477</v>
      </c>
    </row>
    <row r="97" spans="1:18" x14ac:dyDescent="0.25">
      <c r="A97" s="85">
        <v>6</v>
      </c>
      <c r="B97" s="149">
        <f t="shared" si="4"/>
        <v>45809</v>
      </c>
      <c r="C97" s="165">
        <f t="shared" si="32"/>
        <v>45841</v>
      </c>
      <c r="D97" s="165">
        <f t="shared" si="32"/>
        <v>45862</v>
      </c>
      <c r="E97" s="1" t="s">
        <v>8</v>
      </c>
      <c r="F97" s="85">
        <v>9</v>
      </c>
      <c r="G97" s="151">
        <v>130</v>
      </c>
      <c r="H97" s="152">
        <f t="shared" si="25"/>
        <v>0.24830327934112015</v>
      </c>
      <c r="I97" s="152">
        <f t="shared" si="20"/>
        <v>0.50085767102457412</v>
      </c>
      <c r="J97" s="103">
        <f t="shared" si="2"/>
        <v>65.11149723319464</v>
      </c>
      <c r="K97" s="153">
        <f t="shared" si="30"/>
        <v>32.279426314345621</v>
      </c>
      <c r="L97" s="154">
        <f t="shared" si="31"/>
        <v>32.83207091884902</v>
      </c>
      <c r="M97" s="103">
        <f t="shared" si="26"/>
        <v>2.3508243957195223</v>
      </c>
      <c r="N97" s="155">
        <f t="shared" si="27"/>
        <v>35.18289531456854</v>
      </c>
      <c r="O97" s="103">
        <v>0</v>
      </c>
      <c r="P97" s="103">
        <v>0</v>
      </c>
      <c r="Q97" s="103">
        <v>0</v>
      </c>
      <c r="R97" s="155">
        <f t="shared" si="28"/>
        <v>35.18289531456854</v>
      </c>
    </row>
    <row r="98" spans="1:18" x14ac:dyDescent="0.25">
      <c r="A98" s="85">
        <v>7</v>
      </c>
      <c r="B98" s="149">
        <f t="shared" si="4"/>
        <v>45839</v>
      </c>
      <c r="C98" s="165">
        <f t="shared" si="32"/>
        <v>45874</v>
      </c>
      <c r="D98" s="165">
        <f t="shared" si="32"/>
        <v>45894</v>
      </c>
      <c r="E98" s="1" t="s">
        <v>8</v>
      </c>
      <c r="F98" s="85">
        <v>9</v>
      </c>
      <c r="G98" s="151">
        <v>151</v>
      </c>
      <c r="H98" s="152">
        <f t="shared" si="25"/>
        <v>0.24830327934112015</v>
      </c>
      <c r="I98" s="152">
        <f t="shared" si="20"/>
        <v>0.50085767102457412</v>
      </c>
      <c r="J98" s="103">
        <f t="shared" si="2"/>
        <v>75.629508324710699</v>
      </c>
      <c r="K98" s="153">
        <f t="shared" si="30"/>
        <v>37.493795180509146</v>
      </c>
      <c r="L98" s="154">
        <f t="shared" si="31"/>
        <v>38.135713144201553</v>
      </c>
      <c r="M98" s="103">
        <f t="shared" si="26"/>
        <v>2.7305729519511375</v>
      </c>
      <c r="N98" s="155">
        <f t="shared" si="27"/>
        <v>40.866286096152692</v>
      </c>
      <c r="O98" s="103">
        <v>0</v>
      </c>
      <c r="P98" s="103">
        <v>0</v>
      </c>
      <c r="Q98" s="103">
        <v>0</v>
      </c>
      <c r="R98" s="155">
        <f t="shared" si="28"/>
        <v>40.866286096152692</v>
      </c>
    </row>
    <row r="99" spans="1:18" x14ac:dyDescent="0.25">
      <c r="A99" s="85">
        <v>8</v>
      </c>
      <c r="B99" s="149">
        <f t="shared" si="4"/>
        <v>45870</v>
      </c>
      <c r="C99" s="165">
        <f t="shared" si="32"/>
        <v>45904</v>
      </c>
      <c r="D99" s="165">
        <f t="shared" si="32"/>
        <v>45924</v>
      </c>
      <c r="E99" s="1" t="s">
        <v>8</v>
      </c>
      <c r="F99" s="85">
        <v>9</v>
      </c>
      <c r="G99" s="151">
        <v>145</v>
      </c>
      <c r="H99" s="152">
        <f t="shared" si="25"/>
        <v>0.24830327934112015</v>
      </c>
      <c r="I99" s="152">
        <f t="shared" si="20"/>
        <v>0.50085767102457412</v>
      </c>
      <c r="J99" s="103">
        <f t="shared" si="2"/>
        <v>72.624362298563241</v>
      </c>
      <c r="K99" s="153">
        <f t="shared" si="30"/>
        <v>36.003975504462424</v>
      </c>
      <c r="L99" s="154">
        <f t="shared" si="31"/>
        <v>36.620386794100817</v>
      </c>
      <c r="M99" s="103">
        <f t="shared" si="26"/>
        <v>2.6220733644563898</v>
      </c>
      <c r="N99" s="155">
        <f t="shared" si="27"/>
        <v>39.242460158557208</v>
      </c>
      <c r="O99" s="103">
        <v>0</v>
      </c>
      <c r="P99" s="103">
        <v>0</v>
      </c>
      <c r="Q99" s="103">
        <v>0</v>
      </c>
      <c r="R99" s="155">
        <f t="shared" si="28"/>
        <v>39.242460158557208</v>
      </c>
    </row>
    <row r="100" spans="1:18" x14ac:dyDescent="0.25">
      <c r="A100" s="85">
        <v>9</v>
      </c>
      <c r="B100" s="149">
        <f t="shared" si="4"/>
        <v>45901</v>
      </c>
      <c r="C100" s="165">
        <f t="shared" si="32"/>
        <v>45933</v>
      </c>
      <c r="D100" s="165">
        <f t="shared" si="32"/>
        <v>45954</v>
      </c>
      <c r="E100" s="1" t="s">
        <v>8</v>
      </c>
      <c r="F100" s="85">
        <v>9</v>
      </c>
      <c r="G100" s="151">
        <v>126</v>
      </c>
      <c r="H100" s="152">
        <f t="shared" si="25"/>
        <v>0.24830327934112015</v>
      </c>
      <c r="I100" s="152">
        <f t="shared" si="20"/>
        <v>0.50085767102457412</v>
      </c>
      <c r="J100" s="103">
        <f t="shared" si="2"/>
        <v>63.108066549096343</v>
      </c>
      <c r="K100" s="153">
        <f t="shared" si="30"/>
        <v>31.286213196981137</v>
      </c>
      <c r="L100" s="154">
        <f t="shared" si="31"/>
        <v>31.821853352115205</v>
      </c>
      <c r="M100" s="103">
        <f t="shared" si="26"/>
        <v>2.2784913373896911</v>
      </c>
      <c r="N100" s="155">
        <f t="shared" si="27"/>
        <v>34.100344689504894</v>
      </c>
      <c r="O100" s="103">
        <v>0</v>
      </c>
      <c r="P100" s="103">
        <v>0</v>
      </c>
      <c r="Q100" s="103">
        <v>0</v>
      </c>
      <c r="R100" s="155">
        <f t="shared" si="28"/>
        <v>34.100344689504894</v>
      </c>
    </row>
    <row r="101" spans="1:18" x14ac:dyDescent="0.25">
      <c r="A101" s="85">
        <v>10</v>
      </c>
      <c r="B101" s="149">
        <f t="shared" si="4"/>
        <v>45931</v>
      </c>
      <c r="C101" s="165">
        <f t="shared" si="32"/>
        <v>45966</v>
      </c>
      <c r="D101" s="165">
        <f t="shared" si="32"/>
        <v>45985</v>
      </c>
      <c r="E101" s="1" t="s">
        <v>8</v>
      </c>
      <c r="F101" s="85">
        <v>9</v>
      </c>
      <c r="G101" s="151">
        <v>106</v>
      </c>
      <c r="H101" s="152">
        <f t="shared" si="25"/>
        <v>0.24830327934112015</v>
      </c>
      <c r="I101" s="152">
        <f t="shared" si="20"/>
        <v>0.50085767102457412</v>
      </c>
      <c r="J101" s="103">
        <f t="shared" si="2"/>
        <v>53.090913128604861</v>
      </c>
      <c r="K101" s="153">
        <f t="shared" si="30"/>
        <v>26.320147610158735</v>
      </c>
      <c r="L101" s="154">
        <f t="shared" si="31"/>
        <v>26.770765518446126</v>
      </c>
      <c r="M101" s="103">
        <f t="shared" si="26"/>
        <v>1.9168260457405335</v>
      </c>
      <c r="N101" s="155">
        <f t="shared" si="27"/>
        <v>28.687591564186661</v>
      </c>
      <c r="O101" s="103">
        <v>0</v>
      </c>
      <c r="P101" s="103">
        <v>0</v>
      </c>
      <c r="Q101" s="103">
        <v>0</v>
      </c>
      <c r="R101" s="155">
        <f t="shared" si="28"/>
        <v>28.687591564186661</v>
      </c>
    </row>
    <row r="102" spans="1:18" x14ac:dyDescent="0.25">
      <c r="A102" s="85">
        <v>11</v>
      </c>
      <c r="B102" s="149">
        <f t="shared" si="4"/>
        <v>45962</v>
      </c>
      <c r="C102" s="165">
        <f t="shared" si="32"/>
        <v>45994</v>
      </c>
      <c r="D102" s="165">
        <f t="shared" si="32"/>
        <v>46015</v>
      </c>
      <c r="E102" s="1" t="s">
        <v>8</v>
      </c>
      <c r="F102" s="85">
        <v>9</v>
      </c>
      <c r="G102" s="151">
        <v>67</v>
      </c>
      <c r="H102" s="152">
        <f t="shared" si="25"/>
        <v>0.24830327934112015</v>
      </c>
      <c r="I102" s="152">
        <f t="shared" si="20"/>
        <v>0.50085767102457412</v>
      </c>
      <c r="J102" s="103">
        <f t="shared" si="2"/>
        <v>33.557463958646466</v>
      </c>
      <c r="K102" s="153">
        <f t="shared" si="30"/>
        <v>16.636319715855048</v>
      </c>
      <c r="L102" s="154">
        <f t="shared" si="31"/>
        <v>16.921144242791417</v>
      </c>
      <c r="M102" s="103">
        <f t="shared" si="26"/>
        <v>1.2115787270246769</v>
      </c>
      <c r="N102" s="155">
        <f t="shared" si="27"/>
        <v>18.132722969816093</v>
      </c>
      <c r="O102" s="103">
        <v>0</v>
      </c>
      <c r="P102" s="103">
        <v>0</v>
      </c>
      <c r="Q102" s="103">
        <v>0</v>
      </c>
      <c r="R102" s="155">
        <f t="shared" si="28"/>
        <v>18.132722969816093</v>
      </c>
    </row>
    <row r="103" spans="1:18" s="169" customFormat="1" x14ac:dyDescent="0.25">
      <c r="A103" s="85">
        <v>12</v>
      </c>
      <c r="B103" s="167">
        <f t="shared" si="4"/>
        <v>45992</v>
      </c>
      <c r="C103" s="165">
        <f t="shared" si="32"/>
        <v>46028</v>
      </c>
      <c r="D103" s="165">
        <f t="shared" si="32"/>
        <v>46048</v>
      </c>
      <c r="E103" s="168" t="s">
        <v>8</v>
      </c>
      <c r="F103" s="126">
        <v>9</v>
      </c>
      <c r="G103" s="207">
        <v>82</v>
      </c>
      <c r="H103" s="157">
        <f t="shared" si="25"/>
        <v>0.24830327934112015</v>
      </c>
      <c r="I103" s="157">
        <f t="shared" si="20"/>
        <v>0.50085767102457412</v>
      </c>
      <c r="J103" s="158">
        <f t="shared" si="2"/>
        <v>41.070329024015081</v>
      </c>
      <c r="K103" s="159">
        <f t="shared" si="30"/>
        <v>20.360868905971852</v>
      </c>
      <c r="L103" s="160">
        <f t="shared" si="31"/>
        <v>20.709460118043229</v>
      </c>
      <c r="M103" s="158">
        <f t="shared" si="26"/>
        <v>1.4828276957615447</v>
      </c>
      <c r="N103" s="208">
        <f t="shared" si="27"/>
        <v>22.192287813804775</v>
      </c>
      <c r="O103" s="158">
        <v>0</v>
      </c>
      <c r="P103" s="158">
        <v>0</v>
      </c>
      <c r="Q103" s="158">
        <v>0</v>
      </c>
      <c r="R103" s="208">
        <f t="shared" si="28"/>
        <v>22.192287813804775</v>
      </c>
    </row>
    <row r="104" spans="1:18" x14ac:dyDescent="0.25">
      <c r="A104" s="85">
        <v>1</v>
      </c>
      <c r="B104" s="149">
        <f t="shared" si="4"/>
        <v>45658</v>
      </c>
      <c r="C104" s="162">
        <f t="shared" si="32"/>
        <v>45693</v>
      </c>
      <c r="D104" s="162">
        <f t="shared" si="32"/>
        <v>45712</v>
      </c>
      <c r="E104" s="150" t="s">
        <v>19</v>
      </c>
      <c r="F104" s="85">
        <v>9</v>
      </c>
      <c r="G104" s="151">
        <v>70</v>
      </c>
      <c r="H104" s="152">
        <f t="shared" si="25"/>
        <v>0.24830327934112015</v>
      </c>
      <c r="I104" s="152">
        <f t="shared" si="20"/>
        <v>0.50085767102457412</v>
      </c>
      <c r="J104" s="103">
        <f t="shared" si="2"/>
        <v>35.060036971720187</v>
      </c>
      <c r="K104" s="153">
        <f t="shared" si="30"/>
        <v>17.381229553878409</v>
      </c>
      <c r="L104" s="154">
        <f t="shared" si="31"/>
        <v>17.678807417841778</v>
      </c>
      <c r="M104" s="103">
        <f t="shared" si="26"/>
        <v>1.2658285207720505</v>
      </c>
      <c r="N104" s="155">
        <f t="shared" si="27"/>
        <v>18.944635938613828</v>
      </c>
      <c r="O104" s="103">
        <v>0</v>
      </c>
      <c r="P104" s="103">
        <v>0</v>
      </c>
      <c r="Q104" s="103">
        <v>0</v>
      </c>
      <c r="R104" s="155">
        <f t="shared" si="28"/>
        <v>18.944635938613828</v>
      </c>
    </row>
    <row r="105" spans="1:18" x14ac:dyDescent="0.25">
      <c r="A105" s="85">
        <v>2</v>
      </c>
      <c r="B105" s="149">
        <f t="shared" si="4"/>
        <v>45689</v>
      </c>
      <c r="C105" s="165">
        <f t="shared" si="32"/>
        <v>45721</v>
      </c>
      <c r="D105" s="165">
        <f t="shared" si="32"/>
        <v>45740</v>
      </c>
      <c r="E105" s="156" t="s">
        <v>19</v>
      </c>
      <c r="F105" s="85">
        <v>9</v>
      </c>
      <c r="G105" s="151">
        <v>50</v>
      </c>
      <c r="H105" s="152">
        <f t="shared" si="25"/>
        <v>0.24830327934112015</v>
      </c>
      <c r="I105" s="152">
        <f t="shared" si="20"/>
        <v>0.50085767102457412</v>
      </c>
      <c r="J105" s="103">
        <f t="shared" si="2"/>
        <v>25.042883551228705</v>
      </c>
      <c r="K105" s="153">
        <f t="shared" si="30"/>
        <v>12.415163967056007</v>
      </c>
      <c r="L105" s="154">
        <f t="shared" si="31"/>
        <v>12.627719584172699</v>
      </c>
      <c r="M105" s="103">
        <f t="shared" si="26"/>
        <v>0.90416322912289315</v>
      </c>
      <c r="N105" s="155">
        <f t="shared" si="27"/>
        <v>13.531882813295592</v>
      </c>
      <c r="O105" s="103">
        <v>0</v>
      </c>
      <c r="P105" s="103">
        <v>0</v>
      </c>
      <c r="Q105" s="103">
        <v>0</v>
      </c>
      <c r="R105" s="155">
        <f t="shared" si="28"/>
        <v>13.531882813295592</v>
      </c>
    </row>
    <row r="106" spans="1:18" x14ac:dyDescent="0.25">
      <c r="A106" s="85">
        <v>3</v>
      </c>
      <c r="B106" s="149">
        <f t="shared" si="4"/>
        <v>45717</v>
      </c>
      <c r="C106" s="165">
        <f t="shared" si="32"/>
        <v>45750</v>
      </c>
      <c r="D106" s="165">
        <f t="shared" si="32"/>
        <v>45771</v>
      </c>
      <c r="E106" s="156" t="s">
        <v>19</v>
      </c>
      <c r="F106" s="85">
        <v>9</v>
      </c>
      <c r="G106" s="151">
        <v>67</v>
      </c>
      <c r="H106" s="152">
        <f t="shared" si="25"/>
        <v>0.24830327934112015</v>
      </c>
      <c r="I106" s="152">
        <f t="shared" si="20"/>
        <v>0.50085767102457412</v>
      </c>
      <c r="J106" s="103">
        <f t="shared" si="2"/>
        <v>33.557463958646466</v>
      </c>
      <c r="K106" s="153">
        <f t="shared" si="30"/>
        <v>16.636319715855048</v>
      </c>
      <c r="L106" s="154">
        <f>+J106-K106</f>
        <v>16.921144242791417</v>
      </c>
      <c r="M106" s="103">
        <f t="shared" si="26"/>
        <v>1.2115787270246769</v>
      </c>
      <c r="N106" s="155">
        <f t="shared" si="27"/>
        <v>18.132722969816093</v>
      </c>
      <c r="O106" s="103">
        <v>0</v>
      </c>
      <c r="P106" s="103">
        <v>0</v>
      </c>
      <c r="Q106" s="103">
        <v>0</v>
      </c>
      <c r="R106" s="155">
        <f t="shared" si="28"/>
        <v>18.132722969816093</v>
      </c>
    </row>
    <row r="107" spans="1:18" x14ac:dyDescent="0.25">
      <c r="A107" s="85">
        <v>4</v>
      </c>
      <c r="B107" s="149">
        <f t="shared" si="4"/>
        <v>45748</v>
      </c>
      <c r="C107" s="165">
        <f t="shared" si="32"/>
        <v>45782</v>
      </c>
      <c r="D107" s="165">
        <f t="shared" si="32"/>
        <v>45803</v>
      </c>
      <c r="E107" s="1" t="s">
        <v>19</v>
      </c>
      <c r="F107" s="85">
        <v>9</v>
      </c>
      <c r="G107" s="151">
        <v>71</v>
      </c>
      <c r="H107" s="152">
        <f t="shared" si="25"/>
        <v>0.24830327934112015</v>
      </c>
      <c r="I107" s="152">
        <f t="shared" si="20"/>
        <v>0.50085767102457412</v>
      </c>
      <c r="J107" s="103">
        <f t="shared" si="2"/>
        <v>35.560894642744763</v>
      </c>
      <c r="K107" s="153">
        <f t="shared" si="30"/>
        <v>17.629532833219532</v>
      </c>
      <c r="L107" s="154">
        <f t="shared" ref="L107:L115" si="33">+J107-K107</f>
        <v>17.931361809525232</v>
      </c>
      <c r="M107" s="103">
        <f t="shared" si="26"/>
        <v>1.2839117853545083</v>
      </c>
      <c r="N107" s="155">
        <f t="shared" si="27"/>
        <v>19.21527359487974</v>
      </c>
      <c r="O107" s="103">
        <v>0</v>
      </c>
      <c r="P107" s="103">
        <v>0</v>
      </c>
      <c r="Q107" s="103">
        <v>0</v>
      </c>
      <c r="R107" s="155">
        <f t="shared" si="28"/>
        <v>19.21527359487974</v>
      </c>
    </row>
    <row r="108" spans="1:18" x14ac:dyDescent="0.25">
      <c r="A108" s="85">
        <v>5</v>
      </c>
      <c r="B108" s="149">
        <f t="shared" si="4"/>
        <v>45778</v>
      </c>
      <c r="C108" s="165">
        <f t="shared" si="32"/>
        <v>45812</v>
      </c>
      <c r="D108" s="165">
        <f t="shared" si="32"/>
        <v>45832</v>
      </c>
      <c r="E108" s="1" t="s">
        <v>19</v>
      </c>
      <c r="F108" s="85">
        <v>9</v>
      </c>
      <c r="G108" s="151">
        <v>64</v>
      </c>
      <c r="H108" s="152">
        <f t="shared" si="25"/>
        <v>0.24830327934112015</v>
      </c>
      <c r="I108" s="152">
        <f t="shared" ref="I108:I127" si="34">$J$3</f>
        <v>0.50085767102457412</v>
      </c>
      <c r="J108" s="103">
        <f t="shared" si="2"/>
        <v>32.054890945572744</v>
      </c>
      <c r="K108" s="153">
        <f t="shared" si="30"/>
        <v>15.891409877831689</v>
      </c>
      <c r="L108" s="154">
        <f t="shared" si="33"/>
        <v>16.163481067741053</v>
      </c>
      <c r="M108" s="103">
        <f t="shared" si="26"/>
        <v>1.1573289332773031</v>
      </c>
      <c r="N108" s="155">
        <f t="shared" si="27"/>
        <v>17.320810001018355</v>
      </c>
      <c r="O108" s="103">
        <v>0</v>
      </c>
      <c r="P108" s="103">
        <v>0</v>
      </c>
      <c r="Q108" s="103">
        <v>0</v>
      </c>
      <c r="R108" s="155">
        <f t="shared" si="28"/>
        <v>17.320810001018355</v>
      </c>
    </row>
    <row r="109" spans="1:18" x14ac:dyDescent="0.25">
      <c r="A109" s="85">
        <v>6</v>
      </c>
      <c r="B109" s="149">
        <f t="shared" ref="B109:B148" si="35">DATE($R$1,A109,1)</f>
        <v>45809</v>
      </c>
      <c r="C109" s="165">
        <f t="shared" si="32"/>
        <v>45841</v>
      </c>
      <c r="D109" s="165">
        <f t="shared" si="32"/>
        <v>45862</v>
      </c>
      <c r="E109" s="1" t="s">
        <v>19</v>
      </c>
      <c r="F109" s="85">
        <v>9</v>
      </c>
      <c r="G109" s="151">
        <v>72</v>
      </c>
      <c r="H109" s="152">
        <f t="shared" si="25"/>
        <v>0.24830327934112015</v>
      </c>
      <c r="I109" s="152">
        <f t="shared" si="34"/>
        <v>0.50085767102457412</v>
      </c>
      <c r="J109" s="103">
        <f t="shared" ref="J109:J148" si="36">+$G109*I109</f>
        <v>36.06175231376934</v>
      </c>
      <c r="K109" s="153">
        <f t="shared" si="30"/>
        <v>17.877836112560651</v>
      </c>
      <c r="L109" s="154">
        <f t="shared" si="33"/>
        <v>18.183916201208689</v>
      </c>
      <c r="M109" s="103">
        <f t="shared" si="26"/>
        <v>1.3019950499369661</v>
      </c>
      <c r="N109" s="155">
        <f t="shared" si="27"/>
        <v>19.485911251145655</v>
      </c>
      <c r="O109" s="103">
        <v>0</v>
      </c>
      <c r="P109" s="103">
        <v>0</v>
      </c>
      <c r="Q109" s="103">
        <v>0</v>
      </c>
      <c r="R109" s="155">
        <f t="shared" si="28"/>
        <v>19.485911251145655</v>
      </c>
    </row>
    <row r="110" spans="1:18" x14ac:dyDescent="0.25">
      <c r="A110" s="85">
        <v>7</v>
      </c>
      <c r="B110" s="149">
        <f t="shared" si="35"/>
        <v>45839</v>
      </c>
      <c r="C110" s="165">
        <f t="shared" si="32"/>
        <v>45874</v>
      </c>
      <c r="D110" s="165">
        <f t="shared" si="32"/>
        <v>45894</v>
      </c>
      <c r="E110" s="1" t="s">
        <v>19</v>
      </c>
      <c r="F110" s="85">
        <v>9</v>
      </c>
      <c r="G110" s="151">
        <v>11</v>
      </c>
      <c r="H110" s="152">
        <f t="shared" si="25"/>
        <v>0.24830327934112015</v>
      </c>
      <c r="I110" s="152">
        <f t="shared" si="34"/>
        <v>0.50085767102457412</v>
      </c>
      <c r="J110" s="103">
        <f t="shared" si="36"/>
        <v>5.5094343812703155</v>
      </c>
      <c r="K110" s="153">
        <f t="shared" si="30"/>
        <v>2.7313360727523217</v>
      </c>
      <c r="L110" s="154">
        <f t="shared" si="33"/>
        <v>2.7780983085179938</v>
      </c>
      <c r="M110" s="103">
        <f t="shared" si="26"/>
        <v>0.19891591040703652</v>
      </c>
      <c r="N110" s="155">
        <f t="shared" si="27"/>
        <v>2.9770142189250302</v>
      </c>
      <c r="O110" s="103">
        <v>0</v>
      </c>
      <c r="P110" s="103">
        <v>0</v>
      </c>
      <c r="Q110" s="103">
        <v>0</v>
      </c>
      <c r="R110" s="155">
        <f t="shared" si="28"/>
        <v>2.9770142189250302</v>
      </c>
    </row>
    <row r="111" spans="1:18" x14ac:dyDescent="0.25">
      <c r="A111" s="85">
        <v>8</v>
      </c>
      <c r="B111" s="149">
        <f t="shared" si="35"/>
        <v>45870</v>
      </c>
      <c r="C111" s="165">
        <f t="shared" si="32"/>
        <v>45904</v>
      </c>
      <c r="D111" s="165">
        <f t="shared" si="32"/>
        <v>45924</v>
      </c>
      <c r="E111" s="1" t="s">
        <v>19</v>
      </c>
      <c r="F111" s="85">
        <v>9</v>
      </c>
      <c r="G111" s="151">
        <v>62</v>
      </c>
      <c r="H111" s="152">
        <f t="shared" si="25"/>
        <v>0.24830327934112015</v>
      </c>
      <c r="I111" s="152">
        <f t="shared" si="34"/>
        <v>0.50085767102457412</v>
      </c>
      <c r="J111" s="103">
        <f t="shared" si="36"/>
        <v>31.053175603523595</v>
      </c>
      <c r="K111" s="153">
        <f t="shared" si="30"/>
        <v>15.39480331914945</v>
      </c>
      <c r="L111" s="154">
        <f t="shared" si="33"/>
        <v>15.658372284374146</v>
      </c>
      <c r="M111" s="103">
        <f t="shared" si="26"/>
        <v>1.1211624041123875</v>
      </c>
      <c r="N111" s="155">
        <f t="shared" si="27"/>
        <v>16.779534688486532</v>
      </c>
      <c r="O111" s="103">
        <v>0</v>
      </c>
      <c r="P111" s="103">
        <v>0</v>
      </c>
      <c r="Q111" s="103">
        <v>0</v>
      </c>
      <c r="R111" s="155">
        <f t="shared" si="28"/>
        <v>16.779534688486532</v>
      </c>
    </row>
    <row r="112" spans="1:18" x14ac:dyDescent="0.25">
      <c r="A112" s="85">
        <v>9</v>
      </c>
      <c r="B112" s="149">
        <f t="shared" si="35"/>
        <v>45901</v>
      </c>
      <c r="C112" s="165">
        <f t="shared" si="32"/>
        <v>45933</v>
      </c>
      <c r="D112" s="165">
        <f t="shared" si="32"/>
        <v>45954</v>
      </c>
      <c r="E112" s="1" t="s">
        <v>19</v>
      </c>
      <c r="F112" s="85">
        <v>9</v>
      </c>
      <c r="G112" s="151">
        <v>72</v>
      </c>
      <c r="H112" s="152">
        <f t="shared" si="25"/>
        <v>0.24830327934112015</v>
      </c>
      <c r="I112" s="152">
        <f t="shared" si="34"/>
        <v>0.50085767102457412</v>
      </c>
      <c r="J112" s="103">
        <f t="shared" si="36"/>
        <v>36.06175231376934</v>
      </c>
      <c r="K112" s="153">
        <f t="shared" si="30"/>
        <v>17.877836112560651</v>
      </c>
      <c r="L112" s="154">
        <f t="shared" si="33"/>
        <v>18.183916201208689</v>
      </c>
      <c r="M112" s="103">
        <f t="shared" si="26"/>
        <v>1.3019950499369661</v>
      </c>
      <c r="N112" s="155">
        <f t="shared" si="27"/>
        <v>19.485911251145655</v>
      </c>
      <c r="O112" s="103">
        <v>0</v>
      </c>
      <c r="P112" s="103">
        <v>0</v>
      </c>
      <c r="Q112" s="103">
        <v>0</v>
      </c>
      <c r="R112" s="155">
        <f t="shared" si="28"/>
        <v>19.485911251145655</v>
      </c>
    </row>
    <row r="113" spans="1:18" x14ac:dyDescent="0.25">
      <c r="A113" s="85">
        <v>10</v>
      </c>
      <c r="B113" s="149">
        <f t="shared" si="35"/>
        <v>45931</v>
      </c>
      <c r="C113" s="165">
        <f t="shared" si="32"/>
        <v>45966</v>
      </c>
      <c r="D113" s="165">
        <f t="shared" si="32"/>
        <v>45985</v>
      </c>
      <c r="E113" s="1" t="s">
        <v>19</v>
      </c>
      <c r="F113" s="85">
        <v>9</v>
      </c>
      <c r="G113" s="151">
        <v>72</v>
      </c>
      <c r="H113" s="152">
        <f t="shared" si="25"/>
        <v>0.24830327934112015</v>
      </c>
      <c r="I113" s="152">
        <f t="shared" si="34"/>
        <v>0.50085767102457412</v>
      </c>
      <c r="J113" s="103">
        <f t="shared" si="36"/>
        <v>36.06175231376934</v>
      </c>
      <c r="K113" s="153">
        <f t="shared" si="30"/>
        <v>17.877836112560651</v>
      </c>
      <c r="L113" s="154">
        <f t="shared" si="33"/>
        <v>18.183916201208689</v>
      </c>
      <c r="M113" s="103">
        <f t="shared" si="26"/>
        <v>1.3019950499369661</v>
      </c>
      <c r="N113" s="155">
        <f t="shared" si="27"/>
        <v>19.485911251145655</v>
      </c>
      <c r="O113" s="103">
        <v>0</v>
      </c>
      <c r="P113" s="103">
        <v>0</v>
      </c>
      <c r="Q113" s="103">
        <v>0</v>
      </c>
      <c r="R113" s="155">
        <f t="shared" si="28"/>
        <v>19.485911251145655</v>
      </c>
    </row>
    <row r="114" spans="1:18" x14ac:dyDescent="0.25">
      <c r="A114" s="85">
        <v>11</v>
      </c>
      <c r="B114" s="149">
        <f t="shared" si="35"/>
        <v>45962</v>
      </c>
      <c r="C114" s="165">
        <f t="shared" si="32"/>
        <v>45994</v>
      </c>
      <c r="D114" s="165">
        <f t="shared" si="32"/>
        <v>46015</v>
      </c>
      <c r="E114" s="1" t="s">
        <v>19</v>
      </c>
      <c r="F114" s="85">
        <v>9</v>
      </c>
      <c r="G114" s="151">
        <v>67</v>
      </c>
      <c r="H114" s="152">
        <f t="shared" si="25"/>
        <v>0.24830327934112015</v>
      </c>
      <c r="I114" s="152">
        <f t="shared" si="34"/>
        <v>0.50085767102457412</v>
      </c>
      <c r="J114" s="103">
        <f t="shared" si="36"/>
        <v>33.557463958646466</v>
      </c>
      <c r="K114" s="153">
        <f t="shared" si="30"/>
        <v>16.636319715855048</v>
      </c>
      <c r="L114" s="154">
        <f t="shared" si="33"/>
        <v>16.921144242791417</v>
      </c>
      <c r="M114" s="103">
        <f t="shared" si="26"/>
        <v>1.2115787270246769</v>
      </c>
      <c r="N114" s="155">
        <f t="shared" si="27"/>
        <v>18.132722969816093</v>
      </c>
      <c r="O114" s="103">
        <v>0</v>
      </c>
      <c r="P114" s="103">
        <v>0</v>
      </c>
      <c r="Q114" s="103">
        <v>0</v>
      </c>
      <c r="R114" s="155">
        <f t="shared" si="28"/>
        <v>18.132722969816093</v>
      </c>
    </row>
    <row r="115" spans="1:18" s="169" customFormat="1" x14ac:dyDescent="0.25">
      <c r="A115" s="85">
        <v>12</v>
      </c>
      <c r="B115" s="167">
        <f t="shared" si="35"/>
        <v>45992</v>
      </c>
      <c r="C115" s="170">
        <f t="shared" si="32"/>
        <v>46028</v>
      </c>
      <c r="D115" s="170">
        <f t="shared" si="32"/>
        <v>46048</v>
      </c>
      <c r="E115" s="168" t="s">
        <v>19</v>
      </c>
      <c r="F115" s="126">
        <v>9</v>
      </c>
      <c r="G115" s="207">
        <v>68</v>
      </c>
      <c r="H115" s="157">
        <f t="shared" si="25"/>
        <v>0.24830327934112015</v>
      </c>
      <c r="I115" s="157">
        <f t="shared" si="34"/>
        <v>0.50085767102457412</v>
      </c>
      <c r="J115" s="158">
        <f t="shared" si="36"/>
        <v>34.058321629671042</v>
      </c>
      <c r="K115" s="159">
        <f t="shared" si="30"/>
        <v>16.884622995196171</v>
      </c>
      <c r="L115" s="160">
        <f t="shared" si="33"/>
        <v>17.173698634474871</v>
      </c>
      <c r="M115" s="158">
        <f t="shared" si="26"/>
        <v>1.2296619916071345</v>
      </c>
      <c r="N115" s="208">
        <f t="shared" si="27"/>
        <v>18.403360626082005</v>
      </c>
      <c r="O115" s="158">
        <v>0</v>
      </c>
      <c r="P115" s="158">
        <v>0</v>
      </c>
      <c r="Q115" s="158">
        <v>0</v>
      </c>
      <c r="R115" s="208">
        <f t="shared" si="28"/>
        <v>18.403360626082005</v>
      </c>
    </row>
    <row r="116" spans="1:18" x14ac:dyDescent="0.25">
      <c r="A116" s="85">
        <v>1</v>
      </c>
      <c r="B116" s="149">
        <f t="shared" si="35"/>
        <v>45658</v>
      </c>
      <c r="C116" s="165">
        <f t="shared" si="32"/>
        <v>45693</v>
      </c>
      <c r="D116" s="165">
        <f t="shared" si="32"/>
        <v>45712</v>
      </c>
      <c r="E116" s="150" t="s">
        <v>13</v>
      </c>
      <c r="F116" s="85">
        <v>9</v>
      </c>
      <c r="G116" s="151">
        <v>1315</v>
      </c>
      <c r="H116" s="152">
        <f t="shared" si="25"/>
        <v>0.24830327934112015</v>
      </c>
      <c r="I116" s="152">
        <f t="shared" si="34"/>
        <v>0.50085767102457412</v>
      </c>
      <c r="J116" s="103">
        <f t="shared" si="36"/>
        <v>658.62783739731492</v>
      </c>
      <c r="K116" s="153">
        <f t="shared" si="30"/>
        <v>326.51881233357301</v>
      </c>
      <c r="L116" s="154">
        <f>+J116-K116</f>
        <v>332.10902506374191</v>
      </c>
      <c r="M116" s="103">
        <f t="shared" si="26"/>
        <v>23.77949292593209</v>
      </c>
      <c r="N116" s="155">
        <f t="shared" si="27"/>
        <v>355.88851798967403</v>
      </c>
      <c r="O116" s="103">
        <v>0</v>
      </c>
      <c r="P116" s="103">
        <v>0</v>
      </c>
      <c r="Q116" s="103">
        <v>0</v>
      </c>
      <c r="R116" s="155">
        <f t="shared" si="28"/>
        <v>355.88851798967403</v>
      </c>
    </row>
    <row r="117" spans="1:18" x14ac:dyDescent="0.25">
      <c r="A117" s="85">
        <v>2</v>
      </c>
      <c r="B117" s="149">
        <f t="shared" si="35"/>
        <v>45689</v>
      </c>
      <c r="C117" s="165">
        <f t="shared" ref="C117:D139" si="37">+C105</f>
        <v>45721</v>
      </c>
      <c r="D117" s="165">
        <f t="shared" si="37"/>
        <v>45740</v>
      </c>
      <c r="E117" s="156" t="s">
        <v>13</v>
      </c>
      <c r="F117" s="85">
        <v>9</v>
      </c>
      <c r="G117" s="151">
        <v>1377</v>
      </c>
      <c r="H117" s="152">
        <f t="shared" si="25"/>
        <v>0.24830327934112015</v>
      </c>
      <c r="I117" s="152">
        <f t="shared" si="34"/>
        <v>0.50085767102457412</v>
      </c>
      <c r="J117" s="103">
        <f t="shared" si="36"/>
        <v>689.68101300083856</v>
      </c>
      <c r="K117" s="153">
        <f t="shared" si="30"/>
        <v>341.91361565272246</v>
      </c>
      <c r="L117" s="154">
        <f>+J117-K117</f>
        <v>347.76739734811611</v>
      </c>
      <c r="M117" s="103">
        <f t="shared" si="26"/>
        <v>24.900655330044476</v>
      </c>
      <c r="N117" s="155">
        <f t="shared" si="27"/>
        <v>372.66805267816056</v>
      </c>
      <c r="O117" s="103">
        <v>0</v>
      </c>
      <c r="P117" s="103">
        <v>0</v>
      </c>
      <c r="Q117" s="103">
        <v>0</v>
      </c>
      <c r="R117" s="155">
        <f t="shared" si="28"/>
        <v>372.66805267816056</v>
      </c>
    </row>
    <row r="118" spans="1:18" x14ac:dyDescent="0.25">
      <c r="A118" s="85">
        <v>3</v>
      </c>
      <c r="B118" s="149">
        <f t="shared" si="35"/>
        <v>45717</v>
      </c>
      <c r="C118" s="165">
        <f t="shared" si="37"/>
        <v>45750</v>
      </c>
      <c r="D118" s="165">
        <f t="shared" si="37"/>
        <v>45771</v>
      </c>
      <c r="E118" s="156" t="s">
        <v>13</v>
      </c>
      <c r="F118" s="85">
        <v>9</v>
      </c>
      <c r="G118" s="151">
        <v>791</v>
      </c>
      <c r="H118" s="152">
        <f t="shared" si="25"/>
        <v>0.24830327934112015</v>
      </c>
      <c r="I118" s="152">
        <f t="shared" si="34"/>
        <v>0.50085767102457412</v>
      </c>
      <c r="J118" s="103">
        <f t="shared" si="36"/>
        <v>396.17841778043811</v>
      </c>
      <c r="K118" s="153">
        <f t="shared" si="30"/>
        <v>196.40789395882604</v>
      </c>
      <c r="L118" s="154">
        <f>+J118-K118</f>
        <v>199.77052382161207</v>
      </c>
      <c r="M118" s="103">
        <f t="shared" si="26"/>
        <v>14.30386228472417</v>
      </c>
      <c r="N118" s="155">
        <f t="shared" si="27"/>
        <v>214.07438610633625</v>
      </c>
      <c r="O118" s="103">
        <v>0</v>
      </c>
      <c r="P118" s="103">
        <v>0</v>
      </c>
      <c r="Q118" s="103">
        <v>0</v>
      </c>
      <c r="R118" s="155">
        <f t="shared" si="28"/>
        <v>214.07438610633625</v>
      </c>
    </row>
    <row r="119" spans="1:18" x14ac:dyDescent="0.25">
      <c r="A119" s="85">
        <v>4</v>
      </c>
      <c r="B119" s="149">
        <f t="shared" si="35"/>
        <v>45748</v>
      </c>
      <c r="C119" s="165">
        <f t="shared" si="37"/>
        <v>45782</v>
      </c>
      <c r="D119" s="165">
        <f t="shared" si="37"/>
        <v>45803</v>
      </c>
      <c r="E119" s="1" t="s">
        <v>13</v>
      </c>
      <c r="F119" s="85">
        <v>9</v>
      </c>
      <c r="G119" s="151">
        <v>603</v>
      </c>
      <c r="H119" s="152">
        <f t="shared" si="25"/>
        <v>0.24830327934112015</v>
      </c>
      <c r="I119" s="152">
        <f t="shared" si="34"/>
        <v>0.50085767102457412</v>
      </c>
      <c r="J119" s="103">
        <f t="shared" si="36"/>
        <v>302.01717562781818</v>
      </c>
      <c r="K119" s="153">
        <f t="shared" si="30"/>
        <v>149.72687744269544</v>
      </c>
      <c r="L119" s="154">
        <f t="shared" ref="L119:L127" si="38">+J119-K119</f>
        <v>152.29029818512274</v>
      </c>
      <c r="M119" s="103">
        <f t="shared" si="26"/>
        <v>10.904208543222092</v>
      </c>
      <c r="N119" s="155">
        <f t="shared" si="27"/>
        <v>163.19450672834483</v>
      </c>
      <c r="O119" s="103">
        <v>0</v>
      </c>
      <c r="P119" s="103">
        <v>0</v>
      </c>
      <c r="Q119" s="103">
        <v>0</v>
      </c>
      <c r="R119" s="155">
        <f t="shared" si="28"/>
        <v>163.19450672834483</v>
      </c>
    </row>
    <row r="120" spans="1:18" x14ac:dyDescent="0.25">
      <c r="A120" s="85">
        <v>5</v>
      </c>
      <c r="B120" s="149">
        <f t="shared" si="35"/>
        <v>45778</v>
      </c>
      <c r="C120" s="165">
        <f t="shared" si="37"/>
        <v>45812</v>
      </c>
      <c r="D120" s="165">
        <f t="shared" si="37"/>
        <v>45832</v>
      </c>
      <c r="E120" s="1" t="s">
        <v>13</v>
      </c>
      <c r="F120" s="85">
        <v>9</v>
      </c>
      <c r="G120" s="151">
        <v>738</v>
      </c>
      <c r="H120" s="152">
        <f t="shared" si="25"/>
        <v>0.24830327934112015</v>
      </c>
      <c r="I120" s="152">
        <f t="shared" si="34"/>
        <v>0.50085767102457412</v>
      </c>
      <c r="J120" s="103">
        <f t="shared" si="36"/>
        <v>369.6329612161357</v>
      </c>
      <c r="K120" s="153">
        <f t="shared" si="30"/>
        <v>183.24782015374666</v>
      </c>
      <c r="L120" s="154">
        <f t="shared" si="38"/>
        <v>186.38514106238904</v>
      </c>
      <c r="M120" s="103">
        <f t="shared" si="26"/>
        <v>13.345449261853902</v>
      </c>
      <c r="N120" s="155">
        <f t="shared" si="27"/>
        <v>199.73059032424294</v>
      </c>
      <c r="O120" s="103">
        <v>0</v>
      </c>
      <c r="P120" s="103">
        <v>0</v>
      </c>
      <c r="Q120" s="103">
        <v>0</v>
      </c>
      <c r="R120" s="155">
        <f t="shared" si="28"/>
        <v>199.73059032424294</v>
      </c>
    </row>
    <row r="121" spans="1:18" x14ac:dyDescent="0.25">
      <c r="A121" s="85">
        <v>6</v>
      </c>
      <c r="B121" s="149">
        <f t="shared" si="35"/>
        <v>45809</v>
      </c>
      <c r="C121" s="165">
        <f t="shared" si="37"/>
        <v>45841</v>
      </c>
      <c r="D121" s="165">
        <f t="shared" si="37"/>
        <v>45862</v>
      </c>
      <c r="E121" s="1" t="s">
        <v>13</v>
      </c>
      <c r="F121" s="85">
        <v>9</v>
      </c>
      <c r="G121" s="151">
        <v>849</v>
      </c>
      <c r="H121" s="152">
        <f t="shared" si="25"/>
        <v>0.24830327934112015</v>
      </c>
      <c r="I121" s="152">
        <f t="shared" si="34"/>
        <v>0.50085767102457412</v>
      </c>
      <c r="J121" s="103">
        <f t="shared" si="36"/>
        <v>425.22816269986345</v>
      </c>
      <c r="K121" s="153">
        <f t="shared" si="30"/>
        <v>210.80948416061099</v>
      </c>
      <c r="L121" s="154">
        <f t="shared" si="38"/>
        <v>214.41867853925245</v>
      </c>
      <c r="M121" s="103">
        <f t="shared" si="26"/>
        <v>15.352691630506724</v>
      </c>
      <c r="N121" s="155">
        <f t="shared" si="27"/>
        <v>229.77137016975917</v>
      </c>
      <c r="O121" s="103">
        <v>0</v>
      </c>
      <c r="P121" s="103">
        <v>0</v>
      </c>
      <c r="Q121" s="103">
        <v>0</v>
      </c>
      <c r="R121" s="155">
        <f t="shared" si="28"/>
        <v>229.77137016975917</v>
      </c>
    </row>
    <row r="122" spans="1:18" x14ac:dyDescent="0.25">
      <c r="A122" s="85">
        <v>7</v>
      </c>
      <c r="B122" s="149">
        <f t="shared" si="35"/>
        <v>45839</v>
      </c>
      <c r="C122" s="165">
        <f t="shared" si="37"/>
        <v>45874</v>
      </c>
      <c r="D122" s="165">
        <f t="shared" si="37"/>
        <v>45894</v>
      </c>
      <c r="E122" s="1" t="s">
        <v>13</v>
      </c>
      <c r="F122" s="85">
        <v>9</v>
      </c>
      <c r="G122" s="151">
        <v>978</v>
      </c>
      <c r="H122" s="152">
        <f t="shared" si="25"/>
        <v>0.24830327934112015</v>
      </c>
      <c r="I122" s="152">
        <f t="shared" si="34"/>
        <v>0.50085767102457412</v>
      </c>
      <c r="J122" s="103">
        <f t="shared" si="36"/>
        <v>489.83880226203348</v>
      </c>
      <c r="K122" s="153">
        <f t="shared" si="30"/>
        <v>242.84060719561549</v>
      </c>
      <c r="L122" s="154">
        <f t="shared" si="38"/>
        <v>246.99819506641799</v>
      </c>
      <c r="M122" s="103">
        <f t="shared" si="26"/>
        <v>17.685432761643792</v>
      </c>
      <c r="N122" s="155">
        <f t="shared" si="27"/>
        <v>264.68362782806179</v>
      </c>
      <c r="O122" s="103">
        <v>0</v>
      </c>
      <c r="P122" s="103">
        <v>0</v>
      </c>
      <c r="Q122" s="103">
        <v>0</v>
      </c>
      <c r="R122" s="155">
        <f t="shared" si="28"/>
        <v>264.68362782806179</v>
      </c>
    </row>
    <row r="123" spans="1:18" x14ac:dyDescent="0.25">
      <c r="A123" s="85">
        <v>8</v>
      </c>
      <c r="B123" s="149">
        <f t="shared" si="35"/>
        <v>45870</v>
      </c>
      <c r="C123" s="165">
        <f t="shared" si="37"/>
        <v>45904</v>
      </c>
      <c r="D123" s="165">
        <f t="shared" si="37"/>
        <v>45924</v>
      </c>
      <c r="E123" s="1" t="s">
        <v>13</v>
      </c>
      <c r="F123" s="85">
        <v>9</v>
      </c>
      <c r="G123" s="151">
        <v>1000</v>
      </c>
      <c r="H123" s="152">
        <f t="shared" si="25"/>
        <v>0.24830327934112015</v>
      </c>
      <c r="I123" s="152">
        <f t="shared" si="34"/>
        <v>0.50085767102457412</v>
      </c>
      <c r="J123" s="103">
        <f t="shared" si="36"/>
        <v>500.85767102457413</v>
      </c>
      <c r="K123" s="153">
        <f t="shared" si="30"/>
        <v>248.30327934112015</v>
      </c>
      <c r="L123" s="154">
        <f t="shared" si="38"/>
        <v>252.55439168345399</v>
      </c>
      <c r="M123" s="103">
        <f t="shared" si="26"/>
        <v>18.083264582457865</v>
      </c>
      <c r="N123" s="155">
        <f t="shared" si="27"/>
        <v>270.63765626591186</v>
      </c>
      <c r="O123" s="103">
        <v>0</v>
      </c>
      <c r="P123" s="103">
        <v>0</v>
      </c>
      <c r="Q123" s="103">
        <v>0</v>
      </c>
      <c r="R123" s="155">
        <f t="shared" si="28"/>
        <v>270.63765626591186</v>
      </c>
    </row>
    <row r="124" spans="1:18" x14ac:dyDescent="0.25">
      <c r="A124" s="85">
        <v>9</v>
      </c>
      <c r="B124" s="149">
        <f t="shared" si="35"/>
        <v>45901</v>
      </c>
      <c r="C124" s="165">
        <f t="shared" si="37"/>
        <v>45933</v>
      </c>
      <c r="D124" s="165">
        <f t="shared" si="37"/>
        <v>45954</v>
      </c>
      <c r="E124" s="1" t="s">
        <v>13</v>
      </c>
      <c r="F124" s="85">
        <v>9</v>
      </c>
      <c r="G124" s="151">
        <v>844</v>
      </c>
      <c r="H124" s="152">
        <f t="shared" si="25"/>
        <v>0.24830327934112015</v>
      </c>
      <c r="I124" s="152">
        <f t="shared" si="34"/>
        <v>0.50085767102457412</v>
      </c>
      <c r="J124" s="103">
        <f t="shared" si="36"/>
        <v>422.72387434474058</v>
      </c>
      <c r="K124" s="153">
        <f t="shared" si="30"/>
        <v>209.56796776390541</v>
      </c>
      <c r="L124" s="154">
        <f t="shared" si="38"/>
        <v>213.15590658083516</v>
      </c>
      <c r="M124" s="103">
        <f t="shared" si="26"/>
        <v>15.262275307594438</v>
      </c>
      <c r="N124" s="155">
        <f t="shared" si="27"/>
        <v>228.41818188842961</v>
      </c>
      <c r="O124" s="103">
        <v>0</v>
      </c>
      <c r="P124" s="103">
        <v>0</v>
      </c>
      <c r="Q124" s="103">
        <v>0</v>
      </c>
      <c r="R124" s="155">
        <f t="shared" si="28"/>
        <v>228.41818188842961</v>
      </c>
    </row>
    <row r="125" spans="1:18" x14ac:dyDescent="0.25">
      <c r="A125" s="85">
        <v>10</v>
      </c>
      <c r="B125" s="149">
        <f t="shared" si="35"/>
        <v>45931</v>
      </c>
      <c r="C125" s="165">
        <f t="shared" si="37"/>
        <v>45966</v>
      </c>
      <c r="D125" s="165">
        <f t="shared" si="37"/>
        <v>45985</v>
      </c>
      <c r="E125" s="1" t="s">
        <v>13</v>
      </c>
      <c r="F125" s="85">
        <v>9</v>
      </c>
      <c r="G125" s="151">
        <v>760</v>
      </c>
      <c r="H125" s="152">
        <f t="shared" si="25"/>
        <v>0.24830327934112015</v>
      </c>
      <c r="I125" s="152">
        <f t="shared" si="34"/>
        <v>0.50085767102457412</v>
      </c>
      <c r="J125" s="103">
        <f t="shared" si="36"/>
        <v>380.65182997867635</v>
      </c>
      <c r="K125" s="153">
        <f t="shared" si="30"/>
        <v>188.71049229925131</v>
      </c>
      <c r="L125" s="154">
        <f t="shared" si="38"/>
        <v>191.94133767942503</v>
      </c>
      <c r="M125" s="103">
        <f t="shared" si="26"/>
        <v>13.743281082667977</v>
      </c>
      <c r="N125" s="155">
        <f t="shared" si="27"/>
        <v>205.68461876209301</v>
      </c>
      <c r="O125" s="103">
        <v>0</v>
      </c>
      <c r="P125" s="103">
        <v>0</v>
      </c>
      <c r="Q125" s="103">
        <v>0</v>
      </c>
      <c r="R125" s="155">
        <f t="shared" si="28"/>
        <v>205.68461876209301</v>
      </c>
    </row>
    <row r="126" spans="1:18" x14ac:dyDescent="0.25">
      <c r="A126" s="85">
        <v>11</v>
      </c>
      <c r="B126" s="149">
        <f t="shared" si="35"/>
        <v>45962</v>
      </c>
      <c r="C126" s="165">
        <f t="shared" si="37"/>
        <v>45994</v>
      </c>
      <c r="D126" s="165">
        <f t="shared" si="37"/>
        <v>46015</v>
      </c>
      <c r="E126" s="1" t="s">
        <v>13</v>
      </c>
      <c r="F126" s="85">
        <v>9</v>
      </c>
      <c r="G126" s="151">
        <v>748</v>
      </c>
      <c r="H126" s="152">
        <f t="shared" si="25"/>
        <v>0.24830327934112015</v>
      </c>
      <c r="I126" s="152">
        <f t="shared" si="34"/>
        <v>0.50085767102457412</v>
      </c>
      <c r="J126" s="103">
        <f t="shared" si="36"/>
        <v>374.64153792638143</v>
      </c>
      <c r="K126" s="153">
        <f t="shared" si="30"/>
        <v>185.73085294715787</v>
      </c>
      <c r="L126" s="154">
        <f t="shared" si="38"/>
        <v>188.91068497922356</v>
      </c>
      <c r="M126" s="103">
        <f t="shared" si="26"/>
        <v>13.526281907678481</v>
      </c>
      <c r="N126" s="155">
        <f t="shared" si="27"/>
        <v>202.43696688690204</v>
      </c>
      <c r="O126" s="103">
        <v>0</v>
      </c>
      <c r="P126" s="103">
        <v>0</v>
      </c>
      <c r="Q126" s="103">
        <v>0</v>
      </c>
      <c r="R126" s="155">
        <f t="shared" si="28"/>
        <v>202.43696688690204</v>
      </c>
    </row>
    <row r="127" spans="1:18" s="169" customFormat="1" x14ac:dyDescent="0.25">
      <c r="A127" s="85">
        <v>12</v>
      </c>
      <c r="B127" s="167">
        <f t="shared" si="35"/>
        <v>45992</v>
      </c>
      <c r="C127" s="170">
        <f t="shared" si="37"/>
        <v>46028</v>
      </c>
      <c r="D127" s="170">
        <f t="shared" si="37"/>
        <v>46048</v>
      </c>
      <c r="E127" s="168" t="s">
        <v>13</v>
      </c>
      <c r="F127" s="126">
        <v>9</v>
      </c>
      <c r="G127" s="207">
        <v>1070</v>
      </c>
      <c r="H127" s="157">
        <f t="shared" si="25"/>
        <v>0.24830327934112015</v>
      </c>
      <c r="I127" s="157">
        <f t="shared" si="34"/>
        <v>0.50085767102457412</v>
      </c>
      <c r="J127" s="158">
        <f t="shared" si="36"/>
        <v>535.91770799629433</v>
      </c>
      <c r="K127" s="159">
        <f t="shared" si="30"/>
        <v>265.68450889499854</v>
      </c>
      <c r="L127" s="160">
        <f t="shared" si="38"/>
        <v>270.23319910129578</v>
      </c>
      <c r="M127" s="158">
        <f t="shared" si="26"/>
        <v>19.349093103229915</v>
      </c>
      <c r="N127" s="208">
        <f t="shared" si="27"/>
        <v>289.58229220452569</v>
      </c>
      <c r="O127" s="158">
        <v>0</v>
      </c>
      <c r="P127" s="158">
        <v>0</v>
      </c>
      <c r="Q127" s="158">
        <v>0</v>
      </c>
      <c r="R127" s="208">
        <f t="shared" si="28"/>
        <v>289.58229220452569</v>
      </c>
    </row>
    <row r="128" spans="1:18" x14ac:dyDescent="0.25">
      <c r="A128" s="85">
        <v>1</v>
      </c>
      <c r="B128" s="149">
        <f t="shared" si="35"/>
        <v>45658</v>
      </c>
      <c r="C128" s="165">
        <f t="shared" si="37"/>
        <v>45693</v>
      </c>
      <c r="D128" s="165">
        <f t="shared" si="37"/>
        <v>45712</v>
      </c>
      <c r="E128" s="150" t="s">
        <v>15</v>
      </c>
      <c r="F128" s="85">
        <v>9</v>
      </c>
      <c r="G128" s="151">
        <v>7</v>
      </c>
      <c r="H128" s="152">
        <f t="shared" si="25"/>
        <v>0.24830327934112015</v>
      </c>
      <c r="I128" s="152">
        <f t="shared" ref="I128:I147" si="39">$J$3</f>
        <v>0.50085767102457412</v>
      </c>
      <c r="J128" s="103">
        <f t="shared" si="36"/>
        <v>3.506003697172019</v>
      </c>
      <c r="K128" s="153">
        <f t="shared" si="30"/>
        <v>1.738122955387841</v>
      </c>
      <c r="L128" s="154">
        <f>+J128-K128</f>
        <v>1.767880741784178</v>
      </c>
      <c r="M128" s="103">
        <f t="shared" si="26"/>
        <v>0.12658285207720504</v>
      </c>
      <c r="N128" s="155">
        <f t="shared" si="27"/>
        <v>1.894463593861383</v>
      </c>
      <c r="O128" s="103">
        <v>0</v>
      </c>
      <c r="P128" s="103">
        <v>0</v>
      </c>
      <c r="Q128" s="103">
        <v>0</v>
      </c>
      <c r="R128" s="155">
        <f t="shared" si="28"/>
        <v>1.894463593861383</v>
      </c>
    </row>
    <row r="129" spans="1:18" x14ac:dyDescent="0.25">
      <c r="A129" s="85">
        <v>2</v>
      </c>
      <c r="B129" s="149">
        <f t="shared" si="35"/>
        <v>45689</v>
      </c>
      <c r="C129" s="165">
        <f t="shared" si="37"/>
        <v>45721</v>
      </c>
      <c r="D129" s="165">
        <f t="shared" si="37"/>
        <v>45740</v>
      </c>
      <c r="E129" s="156" t="s">
        <v>15</v>
      </c>
      <c r="F129" s="85">
        <v>9</v>
      </c>
      <c r="G129" s="151">
        <v>8</v>
      </c>
      <c r="H129" s="152">
        <f t="shared" si="25"/>
        <v>0.24830327934112015</v>
      </c>
      <c r="I129" s="152">
        <f t="shared" si="39"/>
        <v>0.50085767102457412</v>
      </c>
      <c r="J129" s="103">
        <f t="shared" si="36"/>
        <v>4.006861368196593</v>
      </c>
      <c r="K129" s="153">
        <f t="shared" si="30"/>
        <v>1.9864262347289612</v>
      </c>
      <c r="L129" s="154">
        <f>+J129-K129</f>
        <v>2.0204351334676316</v>
      </c>
      <c r="M129" s="103">
        <f t="shared" si="26"/>
        <v>0.14466611665966289</v>
      </c>
      <c r="N129" s="155">
        <f t="shared" si="27"/>
        <v>2.1651012501272944</v>
      </c>
      <c r="O129" s="103">
        <v>0</v>
      </c>
      <c r="P129" s="103">
        <v>0</v>
      </c>
      <c r="Q129" s="103">
        <v>0</v>
      </c>
      <c r="R129" s="155">
        <f t="shared" si="28"/>
        <v>2.1651012501272944</v>
      </c>
    </row>
    <row r="130" spans="1:18" x14ac:dyDescent="0.25">
      <c r="A130" s="85">
        <v>3</v>
      </c>
      <c r="B130" s="149">
        <f t="shared" si="35"/>
        <v>45717</v>
      </c>
      <c r="C130" s="165">
        <f t="shared" si="37"/>
        <v>45750</v>
      </c>
      <c r="D130" s="165">
        <f t="shared" si="37"/>
        <v>45771</v>
      </c>
      <c r="E130" s="156" t="s">
        <v>15</v>
      </c>
      <c r="F130" s="85">
        <v>9</v>
      </c>
      <c r="G130" s="151">
        <v>7</v>
      </c>
      <c r="H130" s="152">
        <f t="shared" si="25"/>
        <v>0.24830327934112015</v>
      </c>
      <c r="I130" s="152">
        <f t="shared" si="39"/>
        <v>0.50085767102457412</v>
      </c>
      <c r="J130" s="103">
        <f t="shared" si="36"/>
        <v>3.506003697172019</v>
      </c>
      <c r="K130" s="153">
        <f t="shared" si="30"/>
        <v>1.738122955387841</v>
      </c>
      <c r="L130" s="154">
        <f>+J130-K130</f>
        <v>1.767880741784178</v>
      </c>
      <c r="M130" s="103">
        <f t="shared" si="26"/>
        <v>0.12658285207720504</v>
      </c>
      <c r="N130" s="155">
        <f t="shared" si="27"/>
        <v>1.894463593861383</v>
      </c>
      <c r="O130" s="103">
        <v>0</v>
      </c>
      <c r="P130" s="103">
        <v>0</v>
      </c>
      <c r="Q130" s="103">
        <v>0</v>
      </c>
      <c r="R130" s="155">
        <f t="shared" si="28"/>
        <v>1.894463593861383</v>
      </c>
    </row>
    <row r="131" spans="1:18" x14ac:dyDescent="0.25">
      <c r="A131" s="85">
        <v>4</v>
      </c>
      <c r="B131" s="149">
        <f t="shared" si="35"/>
        <v>45748</v>
      </c>
      <c r="C131" s="165">
        <f t="shared" si="37"/>
        <v>45782</v>
      </c>
      <c r="D131" s="165">
        <f t="shared" si="37"/>
        <v>45803</v>
      </c>
      <c r="E131" s="156" t="s">
        <v>15</v>
      </c>
      <c r="F131" s="85">
        <v>9</v>
      </c>
      <c r="G131" s="151">
        <v>3</v>
      </c>
      <c r="H131" s="152">
        <f t="shared" si="25"/>
        <v>0.24830327934112015</v>
      </c>
      <c r="I131" s="152">
        <f t="shared" si="39"/>
        <v>0.50085767102457412</v>
      </c>
      <c r="J131" s="103">
        <f t="shared" si="36"/>
        <v>1.5025730130737225</v>
      </c>
      <c r="K131" s="153">
        <f t="shared" si="30"/>
        <v>0.74490983802336042</v>
      </c>
      <c r="L131" s="154">
        <f t="shared" ref="L131:L141" si="40">+J131-K131</f>
        <v>0.75766317505036207</v>
      </c>
      <c r="M131" s="103">
        <f t="shared" si="26"/>
        <v>5.4249793747373591E-2</v>
      </c>
      <c r="N131" s="155">
        <f t="shared" si="27"/>
        <v>0.81191296879773567</v>
      </c>
      <c r="O131" s="103">
        <v>0</v>
      </c>
      <c r="P131" s="103">
        <v>0</v>
      </c>
      <c r="Q131" s="103">
        <v>0</v>
      </c>
      <c r="R131" s="155">
        <f t="shared" si="28"/>
        <v>0.81191296879773567</v>
      </c>
    </row>
    <row r="132" spans="1:18" x14ac:dyDescent="0.25">
      <c r="A132" s="85">
        <v>5</v>
      </c>
      <c r="B132" s="149">
        <f t="shared" si="35"/>
        <v>45778</v>
      </c>
      <c r="C132" s="165">
        <f t="shared" si="37"/>
        <v>45812</v>
      </c>
      <c r="D132" s="165">
        <f t="shared" si="37"/>
        <v>45832</v>
      </c>
      <c r="E132" s="1" t="s">
        <v>15</v>
      </c>
      <c r="F132" s="85">
        <v>9</v>
      </c>
      <c r="G132" s="151">
        <v>5</v>
      </c>
      <c r="H132" s="152">
        <f t="shared" si="25"/>
        <v>0.24830327934112015</v>
      </c>
      <c r="I132" s="152">
        <f t="shared" si="39"/>
        <v>0.50085767102457412</v>
      </c>
      <c r="J132" s="103">
        <f t="shared" si="36"/>
        <v>2.5042883551228705</v>
      </c>
      <c r="K132" s="153">
        <f t="shared" si="30"/>
        <v>1.2415163967056007</v>
      </c>
      <c r="L132" s="154">
        <f t="shared" si="40"/>
        <v>1.2627719584172699</v>
      </c>
      <c r="M132" s="103">
        <f t="shared" si="26"/>
        <v>9.0416322912289307E-2</v>
      </c>
      <c r="N132" s="155">
        <f t="shared" si="27"/>
        <v>1.3531882813295593</v>
      </c>
      <c r="O132" s="103">
        <v>0</v>
      </c>
      <c r="P132" s="103">
        <v>0</v>
      </c>
      <c r="Q132" s="103">
        <v>0</v>
      </c>
      <c r="R132" s="155">
        <f t="shared" si="28"/>
        <v>1.3531882813295593</v>
      </c>
    </row>
    <row r="133" spans="1:18" x14ac:dyDescent="0.25">
      <c r="A133" s="85">
        <v>6</v>
      </c>
      <c r="B133" s="149">
        <f t="shared" si="35"/>
        <v>45809</v>
      </c>
      <c r="C133" s="165">
        <f t="shared" si="37"/>
        <v>45841</v>
      </c>
      <c r="D133" s="165">
        <f t="shared" si="37"/>
        <v>45862</v>
      </c>
      <c r="E133" s="1" t="s">
        <v>15</v>
      </c>
      <c r="F133" s="85">
        <v>9</v>
      </c>
      <c r="G133" s="151">
        <v>10</v>
      </c>
      <c r="H133" s="152">
        <f t="shared" si="25"/>
        <v>0.24830327934112015</v>
      </c>
      <c r="I133" s="152">
        <f t="shared" si="39"/>
        <v>0.50085767102457412</v>
      </c>
      <c r="J133" s="103">
        <f t="shared" si="36"/>
        <v>5.008576710245741</v>
      </c>
      <c r="K133" s="153">
        <f t="shared" si="30"/>
        <v>2.4830327934112013</v>
      </c>
      <c r="L133" s="154">
        <f t="shared" si="40"/>
        <v>2.5255439168345397</v>
      </c>
      <c r="M133" s="103">
        <f t="shared" si="26"/>
        <v>0.18083264582457861</v>
      </c>
      <c r="N133" s="155">
        <f t="shared" si="27"/>
        <v>2.7063765626591185</v>
      </c>
      <c r="O133" s="103">
        <v>0</v>
      </c>
      <c r="P133" s="103">
        <v>0</v>
      </c>
      <c r="Q133" s="103">
        <v>0</v>
      </c>
      <c r="R133" s="155">
        <f t="shared" si="28"/>
        <v>2.7063765626591185</v>
      </c>
    </row>
    <row r="134" spans="1:18" x14ac:dyDescent="0.25">
      <c r="A134" s="85">
        <v>7</v>
      </c>
      <c r="B134" s="149">
        <f t="shared" si="35"/>
        <v>45839</v>
      </c>
      <c r="C134" s="165">
        <f t="shared" si="37"/>
        <v>45874</v>
      </c>
      <c r="D134" s="165">
        <f t="shared" si="37"/>
        <v>45894</v>
      </c>
      <c r="E134" s="1" t="s">
        <v>15</v>
      </c>
      <c r="F134" s="85">
        <v>9</v>
      </c>
      <c r="G134" s="151">
        <v>17</v>
      </c>
      <c r="H134" s="152">
        <f t="shared" si="25"/>
        <v>0.24830327934112015</v>
      </c>
      <c r="I134" s="152">
        <f t="shared" si="39"/>
        <v>0.50085767102457412</v>
      </c>
      <c r="J134" s="103">
        <f t="shared" si="36"/>
        <v>8.5145804074177605</v>
      </c>
      <c r="K134" s="153">
        <f t="shared" ref="K134:K197" si="41">+$G134*H134</f>
        <v>4.2211557487990428</v>
      </c>
      <c r="L134" s="154">
        <f t="shared" si="40"/>
        <v>4.2934246586187177</v>
      </c>
      <c r="M134" s="103">
        <f t="shared" si="26"/>
        <v>0.30741549790178363</v>
      </c>
      <c r="N134" s="155">
        <f t="shared" si="27"/>
        <v>4.6008401565205013</v>
      </c>
      <c r="O134" s="103">
        <v>0</v>
      </c>
      <c r="P134" s="103">
        <v>0</v>
      </c>
      <c r="Q134" s="103">
        <v>0</v>
      </c>
      <c r="R134" s="155">
        <f t="shared" si="28"/>
        <v>4.6008401565205013</v>
      </c>
    </row>
    <row r="135" spans="1:18" x14ac:dyDescent="0.25">
      <c r="A135" s="85">
        <v>8</v>
      </c>
      <c r="B135" s="149">
        <f t="shared" si="35"/>
        <v>45870</v>
      </c>
      <c r="C135" s="165">
        <f t="shared" si="37"/>
        <v>45904</v>
      </c>
      <c r="D135" s="165">
        <f t="shared" si="37"/>
        <v>45924</v>
      </c>
      <c r="E135" s="1" t="s">
        <v>15</v>
      </c>
      <c r="F135" s="85">
        <v>9</v>
      </c>
      <c r="G135" s="151">
        <v>16</v>
      </c>
      <c r="H135" s="152">
        <f t="shared" si="25"/>
        <v>0.24830327934112015</v>
      </c>
      <c r="I135" s="152">
        <f t="shared" si="39"/>
        <v>0.50085767102457412</v>
      </c>
      <c r="J135" s="103">
        <f t="shared" si="36"/>
        <v>8.013722736393186</v>
      </c>
      <c r="K135" s="153">
        <f t="shared" si="41"/>
        <v>3.9728524694579224</v>
      </c>
      <c r="L135" s="154">
        <f t="shared" si="40"/>
        <v>4.0408702669352632</v>
      </c>
      <c r="M135" s="103">
        <f t="shared" si="26"/>
        <v>0.28933223331932578</v>
      </c>
      <c r="N135" s="155">
        <f t="shared" si="27"/>
        <v>4.3302025002545887</v>
      </c>
      <c r="O135" s="103">
        <v>0</v>
      </c>
      <c r="P135" s="103">
        <v>0</v>
      </c>
      <c r="Q135" s="103">
        <v>0</v>
      </c>
      <c r="R135" s="155">
        <f t="shared" si="28"/>
        <v>4.3302025002545887</v>
      </c>
    </row>
    <row r="136" spans="1:18" x14ac:dyDescent="0.25">
      <c r="A136" s="85">
        <v>9</v>
      </c>
      <c r="B136" s="149">
        <f t="shared" si="35"/>
        <v>45901</v>
      </c>
      <c r="C136" s="165">
        <f t="shared" si="37"/>
        <v>45933</v>
      </c>
      <c r="D136" s="165">
        <f t="shared" si="37"/>
        <v>45954</v>
      </c>
      <c r="E136" s="1" t="s">
        <v>15</v>
      </c>
      <c r="F136" s="85">
        <v>9</v>
      </c>
      <c r="G136" s="151">
        <v>8</v>
      </c>
      <c r="H136" s="152">
        <f t="shared" si="25"/>
        <v>0.24830327934112015</v>
      </c>
      <c r="I136" s="152">
        <f t="shared" si="39"/>
        <v>0.50085767102457412</v>
      </c>
      <c r="J136" s="103">
        <f t="shared" si="36"/>
        <v>4.006861368196593</v>
      </c>
      <c r="K136" s="153">
        <f t="shared" si="41"/>
        <v>1.9864262347289612</v>
      </c>
      <c r="L136" s="154">
        <f t="shared" si="40"/>
        <v>2.0204351334676316</v>
      </c>
      <c r="M136" s="103">
        <f t="shared" si="26"/>
        <v>0.14466611665966289</v>
      </c>
      <c r="N136" s="155">
        <f t="shared" si="27"/>
        <v>2.1651012501272944</v>
      </c>
      <c r="O136" s="103">
        <v>0</v>
      </c>
      <c r="P136" s="103">
        <v>0</v>
      </c>
      <c r="Q136" s="103">
        <v>0</v>
      </c>
      <c r="R136" s="155">
        <f t="shared" si="28"/>
        <v>2.1651012501272944</v>
      </c>
    </row>
    <row r="137" spans="1:18" x14ac:dyDescent="0.25">
      <c r="A137" s="85">
        <v>10</v>
      </c>
      <c r="B137" s="149">
        <f t="shared" si="35"/>
        <v>45931</v>
      </c>
      <c r="C137" s="165">
        <f t="shared" si="37"/>
        <v>45966</v>
      </c>
      <c r="D137" s="165">
        <f t="shared" si="37"/>
        <v>45985</v>
      </c>
      <c r="E137" s="1" t="s">
        <v>15</v>
      </c>
      <c r="F137" s="85">
        <v>9</v>
      </c>
      <c r="G137" s="151">
        <v>8</v>
      </c>
      <c r="H137" s="152">
        <f t="shared" si="25"/>
        <v>0.24830327934112015</v>
      </c>
      <c r="I137" s="152">
        <f t="shared" si="39"/>
        <v>0.50085767102457412</v>
      </c>
      <c r="J137" s="103">
        <f t="shared" si="36"/>
        <v>4.006861368196593</v>
      </c>
      <c r="K137" s="153">
        <f t="shared" si="41"/>
        <v>1.9864262347289612</v>
      </c>
      <c r="L137" s="154">
        <f t="shared" si="40"/>
        <v>2.0204351334676316</v>
      </c>
      <c r="M137" s="103">
        <f t="shared" si="26"/>
        <v>0.14466611665966289</v>
      </c>
      <c r="N137" s="155">
        <f t="shared" si="27"/>
        <v>2.1651012501272944</v>
      </c>
      <c r="O137" s="103">
        <v>0</v>
      </c>
      <c r="P137" s="103">
        <v>0</v>
      </c>
      <c r="Q137" s="103">
        <v>0</v>
      </c>
      <c r="R137" s="155">
        <f t="shared" si="28"/>
        <v>2.1651012501272944</v>
      </c>
    </row>
    <row r="138" spans="1:18" x14ac:dyDescent="0.25">
      <c r="A138" s="85">
        <v>11</v>
      </c>
      <c r="B138" s="149">
        <f t="shared" si="35"/>
        <v>45962</v>
      </c>
      <c r="C138" s="165">
        <f t="shared" si="37"/>
        <v>45994</v>
      </c>
      <c r="D138" s="165">
        <f t="shared" si="37"/>
        <v>46015</v>
      </c>
      <c r="E138" s="1" t="s">
        <v>15</v>
      </c>
      <c r="F138" s="85">
        <v>9</v>
      </c>
      <c r="G138" s="151">
        <v>6</v>
      </c>
      <c r="H138" s="152">
        <f t="shared" si="25"/>
        <v>0.24830327934112015</v>
      </c>
      <c r="I138" s="152">
        <f t="shared" si="39"/>
        <v>0.50085767102457412</v>
      </c>
      <c r="J138" s="103">
        <f t="shared" si="36"/>
        <v>3.005146026147445</v>
      </c>
      <c r="K138" s="153">
        <f t="shared" si="41"/>
        <v>1.4898196760467208</v>
      </c>
      <c r="L138" s="154">
        <f t="shared" si="40"/>
        <v>1.5153263501007241</v>
      </c>
      <c r="M138" s="103">
        <f t="shared" si="26"/>
        <v>0.10849958749474718</v>
      </c>
      <c r="N138" s="155">
        <f t="shared" si="27"/>
        <v>1.6238259375954713</v>
      </c>
      <c r="O138" s="103">
        <v>0</v>
      </c>
      <c r="P138" s="103">
        <v>0</v>
      </c>
      <c r="Q138" s="103">
        <v>0</v>
      </c>
      <c r="R138" s="155">
        <f t="shared" si="28"/>
        <v>1.6238259375954713</v>
      </c>
    </row>
    <row r="139" spans="1:18" s="169" customFormat="1" x14ac:dyDescent="0.25">
      <c r="A139" s="85">
        <v>12</v>
      </c>
      <c r="B139" s="167">
        <f t="shared" si="35"/>
        <v>45992</v>
      </c>
      <c r="C139" s="165">
        <f t="shared" si="37"/>
        <v>46028</v>
      </c>
      <c r="D139" s="165">
        <f t="shared" si="37"/>
        <v>46048</v>
      </c>
      <c r="E139" s="168" t="s">
        <v>15</v>
      </c>
      <c r="F139" s="126">
        <v>9</v>
      </c>
      <c r="G139" s="207">
        <v>7</v>
      </c>
      <c r="H139" s="157">
        <f t="shared" si="25"/>
        <v>0.24830327934112015</v>
      </c>
      <c r="I139" s="157">
        <f t="shared" si="39"/>
        <v>0.50085767102457412</v>
      </c>
      <c r="J139" s="158">
        <f t="shared" si="36"/>
        <v>3.506003697172019</v>
      </c>
      <c r="K139" s="159">
        <f t="shared" si="41"/>
        <v>1.738122955387841</v>
      </c>
      <c r="L139" s="160">
        <f t="shared" si="40"/>
        <v>1.767880741784178</v>
      </c>
      <c r="M139" s="158">
        <f t="shared" si="26"/>
        <v>0.12658285207720504</v>
      </c>
      <c r="N139" s="208">
        <f t="shared" si="27"/>
        <v>1.894463593861383</v>
      </c>
      <c r="O139" s="158">
        <v>0</v>
      </c>
      <c r="P139" s="158">
        <v>0</v>
      </c>
      <c r="Q139" s="158">
        <v>0</v>
      </c>
      <c r="R139" s="208">
        <f t="shared" si="28"/>
        <v>1.894463593861383</v>
      </c>
    </row>
    <row r="140" spans="1:18" x14ac:dyDescent="0.25">
      <c r="A140" s="85">
        <v>1</v>
      </c>
      <c r="B140" s="149">
        <f t="shared" si="35"/>
        <v>45658</v>
      </c>
      <c r="C140" s="162">
        <f t="shared" ref="C140:D151" si="42">+C128</f>
        <v>45693</v>
      </c>
      <c r="D140" s="162">
        <f t="shared" si="42"/>
        <v>45712</v>
      </c>
      <c r="E140" s="172" t="s">
        <v>16</v>
      </c>
      <c r="F140" s="85">
        <v>9</v>
      </c>
      <c r="G140" s="151">
        <v>2</v>
      </c>
      <c r="H140" s="152">
        <f t="shared" si="25"/>
        <v>0.24830327934112015</v>
      </c>
      <c r="I140" s="152">
        <f t="shared" si="39"/>
        <v>0.50085767102457412</v>
      </c>
      <c r="J140" s="103">
        <f t="shared" si="36"/>
        <v>1.0017153420491482</v>
      </c>
      <c r="K140" s="153">
        <f t="shared" si="41"/>
        <v>0.4966065586822403</v>
      </c>
      <c r="L140" s="154">
        <f t="shared" si="40"/>
        <v>0.5051087833669079</v>
      </c>
      <c r="M140" s="103">
        <f t="shared" si="26"/>
        <v>3.6166529164915723E-2</v>
      </c>
      <c r="N140" s="155">
        <f t="shared" si="27"/>
        <v>0.54127531253182359</v>
      </c>
      <c r="O140" s="103">
        <v>0</v>
      </c>
      <c r="P140" s="103">
        <v>0</v>
      </c>
      <c r="Q140" s="103">
        <v>0</v>
      </c>
      <c r="R140" s="155">
        <f t="shared" si="28"/>
        <v>0.54127531253182359</v>
      </c>
    </row>
    <row r="141" spans="1:18" x14ac:dyDescent="0.25">
      <c r="A141" s="85">
        <v>2</v>
      </c>
      <c r="B141" s="149">
        <f t="shared" si="35"/>
        <v>45689</v>
      </c>
      <c r="C141" s="165">
        <f t="shared" si="42"/>
        <v>45721</v>
      </c>
      <c r="D141" s="165">
        <f t="shared" si="42"/>
        <v>45740</v>
      </c>
      <c r="E141" s="1" t="s">
        <v>16</v>
      </c>
      <c r="F141" s="85">
        <v>9</v>
      </c>
      <c r="G141" s="151">
        <v>3</v>
      </c>
      <c r="H141" s="152">
        <f t="shared" si="25"/>
        <v>0.24830327934112015</v>
      </c>
      <c r="I141" s="152">
        <f t="shared" si="39"/>
        <v>0.50085767102457412</v>
      </c>
      <c r="J141" s="103">
        <f t="shared" si="36"/>
        <v>1.5025730130737225</v>
      </c>
      <c r="K141" s="153">
        <f t="shared" si="41"/>
        <v>0.74490983802336042</v>
      </c>
      <c r="L141" s="154">
        <f t="shared" si="40"/>
        <v>0.75766317505036207</v>
      </c>
      <c r="M141" s="103">
        <f t="shared" si="26"/>
        <v>5.4249793747373591E-2</v>
      </c>
      <c r="N141" s="155">
        <f t="shared" si="27"/>
        <v>0.81191296879773567</v>
      </c>
      <c r="O141" s="103">
        <v>0</v>
      </c>
      <c r="P141" s="103">
        <v>0</v>
      </c>
      <c r="Q141" s="103">
        <v>0</v>
      </c>
      <c r="R141" s="155">
        <f t="shared" si="28"/>
        <v>0.81191296879773567</v>
      </c>
    </row>
    <row r="142" spans="1:18" x14ac:dyDescent="0.25">
      <c r="A142" s="85">
        <v>3</v>
      </c>
      <c r="B142" s="149">
        <f t="shared" si="35"/>
        <v>45717</v>
      </c>
      <c r="C142" s="165">
        <f t="shared" si="42"/>
        <v>45750</v>
      </c>
      <c r="D142" s="165">
        <f t="shared" si="42"/>
        <v>45771</v>
      </c>
      <c r="E142" s="1" t="s">
        <v>16</v>
      </c>
      <c r="F142" s="85">
        <v>9</v>
      </c>
      <c r="G142" s="151">
        <v>2</v>
      </c>
      <c r="H142" s="152">
        <f t="shared" si="25"/>
        <v>0.24830327934112015</v>
      </c>
      <c r="I142" s="152">
        <f t="shared" si="39"/>
        <v>0.50085767102457412</v>
      </c>
      <c r="J142" s="103">
        <f t="shared" si="36"/>
        <v>1.0017153420491482</v>
      </c>
      <c r="K142" s="153">
        <f t="shared" si="41"/>
        <v>0.4966065586822403</v>
      </c>
      <c r="L142" s="154">
        <f>+J142-K142</f>
        <v>0.5051087833669079</v>
      </c>
      <c r="M142" s="103">
        <f t="shared" si="26"/>
        <v>3.6166529164915723E-2</v>
      </c>
      <c r="N142" s="155">
        <f t="shared" si="27"/>
        <v>0.54127531253182359</v>
      </c>
      <c r="O142" s="103">
        <v>0</v>
      </c>
      <c r="P142" s="103">
        <v>0</v>
      </c>
      <c r="Q142" s="103">
        <v>0</v>
      </c>
      <c r="R142" s="155">
        <f t="shared" si="28"/>
        <v>0.54127531253182359</v>
      </c>
    </row>
    <row r="143" spans="1:18" x14ac:dyDescent="0.25">
      <c r="A143" s="85">
        <v>4</v>
      </c>
      <c r="B143" s="149">
        <f t="shared" si="35"/>
        <v>45748</v>
      </c>
      <c r="C143" s="165">
        <f t="shared" si="42"/>
        <v>45782</v>
      </c>
      <c r="D143" s="165">
        <f t="shared" si="42"/>
        <v>45803</v>
      </c>
      <c r="E143" s="1" t="s">
        <v>16</v>
      </c>
      <c r="F143" s="85">
        <v>9</v>
      </c>
      <c r="G143" s="151">
        <v>1</v>
      </c>
      <c r="H143" s="152">
        <f t="shared" si="25"/>
        <v>0.24830327934112015</v>
      </c>
      <c r="I143" s="152">
        <f t="shared" si="39"/>
        <v>0.50085767102457412</v>
      </c>
      <c r="J143" s="103">
        <f t="shared" si="36"/>
        <v>0.50085767102457412</v>
      </c>
      <c r="K143" s="153">
        <f t="shared" si="41"/>
        <v>0.24830327934112015</v>
      </c>
      <c r="L143" s="154">
        <f t="shared" ref="L143:L153" si="43">+J143-K143</f>
        <v>0.25255439168345395</v>
      </c>
      <c r="M143" s="103">
        <f t="shared" si="26"/>
        <v>1.8083264582457861E-2</v>
      </c>
      <c r="N143" s="155">
        <f t="shared" si="27"/>
        <v>0.2706376562659118</v>
      </c>
      <c r="O143" s="103">
        <v>0</v>
      </c>
      <c r="P143" s="103">
        <v>0</v>
      </c>
      <c r="Q143" s="103">
        <v>0</v>
      </c>
      <c r="R143" s="155">
        <f t="shared" si="28"/>
        <v>0.2706376562659118</v>
      </c>
    </row>
    <row r="144" spans="1:18" x14ac:dyDescent="0.25">
      <c r="A144" s="85">
        <v>5</v>
      </c>
      <c r="B144" s="149">
        <f t="shared" si="35"/>
        <v>45778</v>
      </c>
      <c r="C144" s="165">
        <f t="shared" si="42"/>
        <v>45812</v>
      </c>
      <c r="D144" s="165">
        <f t="shared" si="42"/>
        <v>45832</v>
      </c>
      <c r="E144" s="1" t="s">
        <v>16</v>
      </c>
      <c r="F144" s="85">
        <v>9</v>
      </c>
      <c r="G144" s="151">
        <v>2</v>
      </c>
      <c r="H144" s="152">
        <f t="shared" si="25"/>
        <v>0.24830327934112015</v>
      </c>
      <c r="I144" s="152">
        <f t="shared" si="39"/>
        <v>0.50085767102457412</v>
      </c>
      <c r="J144" s="103">
        <f t="shared" si="36"/>
        <v>1.0017153420491482</v>
      </c>
      <c r="K144" s="153">
        <f t="shared" si="41"/>
        <v>0.4966065586822403</v>
      </c>
      <c r="L144" s="154">
        <f t="shared" si="43"/>
        <v>0.5051087833669079</v>
      </c>
      <c r="M144" s="103">
        <f t="shared" si="26"/>
        <v>3.6166529164915723E-2</v>
      </c>
      <c r="N144" s="155">
        <f t="shared" si="27"/>
        <v>0.54127531253182359</v>
      </c>
      <c r="O144" s="103">
        <v>0</v>
      </c>
      <c r="P144" s="103">
        <v>0</v>
      </c>
      <c r="Q144" s="103">
        <v>0</v>
      </c>
      <c r="R144" s="155">
        <f t="shared" si="28"/>
        <v>0.54127531253182359</v>
      </c>
    </row>
    <row r="145" spans="1:18" x14ac:dyDescent="0.25">
      <c r="A145" s="85">
        <v>6</v>
      </c>
      <c r="B145" s="149">
        <f t="shared" si="35"/>
        <v>45809</v>
      </c>
      <c r="C145" s="165">
        <f t="shared" si="42"/>
        <v>45841</v>
      </c>
      <c r="D145" s="165">
        <f t="shared" si="42"/>
        <v>45862</v>
      </c>
      <c r="E145" s="1" t="s">
        <v>16</v>
      </c>
      <c r="F145" s="85">
        <v>9</v>
      </c>
      <c r="G145" s="151">
        <v>3</v>
      </c>
      <c r="H145" s="152">
        <f t="shared" si="25"/>
        <v>0.24830327934112015</v>
      </c>
      <c r="I145" s="152">
        <f t="shared" si="39"/>
        <v>0.50085767102457412</v>
      </c>
      <c r="J145" s="103">
        <f t="shared" si="36"/>
        <v>1.5025730130737225</v>
      </c>
      <c r="K145" s="153">
        <f t="shared" si="41"/>
        <v>0.74490983802336042</v>
      </c>
      <c r="L145" s="154">
        <f t="shared" si="43"/>
        <v>0.75766317505036207</v>
      </c>
      <c r="M145" s="103">
        <f t="shared" si="26"/>
        <v>5.4249793747373591E-2</v>
      </c>
      <c r="N145" s="155">
        <f t="shared" si="27"/>
        <v>0.81191296879773567</v>
      </c>
      <c r="O145" s="103">
        <v>0</v>
      </c>
      <c r="P145" s="103">
        <v>0</v>
      </c>
      <c r="Q145" s="103">
        <v>0</v>
      </c>
      <c r="R145" s="155">
        <f t="shared" si="28"/>
        <v>0.81191296879773567</v>
      </c>
    </row>
    <row r="146" spans="1:18" x14ac:dyDescent="0.25">
      <c r="A146" s="85">
        <v>7</v>
      </c>
      <c r="B146" s="149">
        <f t="shared" si="35"/>
        <v>45839</v>
      </c>
      <c r="C146" s="165">
        <f t="shared" si="42"/>
        <v>45874</v>
      </c>
      <c r="D146" s="165">
        <f t="shared" si="42"/>
        <v>45894</v>
      </c>
      <c r="E146" s="1" t="s">
        <v>16</v>
      </c>
      <c r="F146" s="85">
        <v>9</v>
      </c>
      <c r="G146" s="151">
        <v>7</v>
      </c>
      <c r="H146" s="152">
        <f t="shared" si="25"/>
        <v>0.24830327934112015</v>
      </c>
      <c r="I146" s="152">
        <f t="shared" si="39"/>
        <v>0.50085767102457412</v>
      </c>
      <c r="J146" s="103">
        <f t="shared" si="36"/>
        <v>3.506003697172019</v>
      </c>
      <c r="K146" s="153">
        <f t="shared" si="41"/>
        <v>1.738122955387841</v>
      </c>
      <c r="L146" s="154">
        <f t="shared" si="43"/>
        <v>1.767880741784178</v>
      </c>
      <c r="M146" s="103">
        <f t="shared" si="26"/>
        <v>0.12658285207720504</v>
      </c>
      <c r="N146" s="155">
        <f t="shared" si="27"/>
        <v>1.894463593861383</v>
      </c>
      <c r="O146" s="103">
        <v>0</v>
      </c>
      <c r="P146" s="103">
        <v>0</v>
      </c>
      <c r="Q146" s="103">
        <v>0</v>
      </c>
      <c r="R146" s="155">
        <f t="shared" si="28"/>
        <v>1.894463593861383</v>
      </c>
    </row>
    <row r="147" spans="1:18" x14ac:dyDescent="0.25">
      <c r="A147" s="85">
        <v>8</v>
      </c>
      <c r="B147" s="149">
        <f t="shared" si="35"/>
        <v>45870</v>
      </c>
      <c r="C147" s="165">
        <f t="shared" si="42"/>
        <v>45904</v>
      </c>
      <c r="D147" s="165">
        <f t="shared" si="42"/>
        <v>45924</v>
      </c>
      <c r="E147" s="1" t="s">
        <v>16</v>
      </c>
      <c r="F147" s="85">
        <v>9</v>
      </c>
      <c r="G147" s="151">
        <v>5</v>
      </c>
      <c r="H147" s="152">
        <f t="shared" si="25"/>
        <v>0.24830327934112015</v>
      </c>
      <c r="I147" s="152">
        <f t="shared" si="39"/>
        <v>0.50085767102457412</v>
      </c>
      <c r="J147" s="103">
        <f t="shared" si="36"/>
        <v>2.5042883551228705</v>
      </c>
      <c r="K147" s="153">
        <f t="shared" si="41"/>
        <v>1.2415163967056007</v>
      </c>
      <c r="L147" s="154">
        <f t="shared" si="43"/>
        <v>1.2627719584172699</v>
      </c>
      <c r="M147" s="103">
        <f t="shared" si="26"/>
        <v>9.0416322912289307E-2</v>
      </c>
      <c r="N147" s="155">
        <f t="shared" si="27"/>
        <v>1.3531882813295593</v>
      </c>
      <c r="O147" s="103">
        <v>0</v>
      </c>
      <c r="P147" s="103">
        <v>0</v>
      </c>
      <c r="Q147" s="103">
        <v>0</v>
      </c>
      <c r="R147" s="155">
        <f t="shared" si="28"/>
        <v>1.3531882813295593</v>
      </c>
    </row>
    <row r="148" spans="1:18" x14ac:dyDescent="0.25">
      <c r="A148" s="85">
        <v>9</v>
      </c>
      <c r="B148" s="149">
        <f t="shared" si="35"/>
        <v>45901</v>
      </c>
      <c r="C148" s="165">
        <f t="shared" si="42"/>
        <v>45933</v>
      </c>
      <c r="D148" s="165">
        <f t="shared" si="42"/>
        <v>45954</v>
      </c>
      <c r="E148" s="1" t="s">
        <v>16</v>
      </c>
      <c r="F148" s="85">
        <v>9</v>
      </c>
      <c r="G148" s="151">
        <v>2</v>
      </c>
      <c r="H148" s="152">
        <f t="shared" si="25"/>
        <v>0.24830327934112015</v>
      </c>
      <c r="I148" s="152">
        <f t="shared" ref="I148:I179" si="44">$J$3</f>
        <v>0.50085767102457412</v>
      </c>
      <c r="J148" s="103">
        <f t="shared" si="36"/>
        <v>1.0017153420491482</v>
      </c>
      <c r="K148" s="153">
        <f t="shared" si="41"/>
        <v>0.4966065586822403</v>
      </c>
      <c r="L148" s="154">
        <f t="shared" si="43"/>
        <v>0.5051087833669079</v>
      </c>
      <c r="M148" s="103">
        <f t="shared" si="26"/>
        <v>3.6166529164915723E-2</v>
      </c>
      <c r="N148" s="155">
        <f t="shared" si="27"/>
        <v>0.54127531253182359</v>
      </c>
      <c r="O148" s="103">
        <v>0</v>
      </c>
      <c r="P148" s="103">
        <v>0</v>
      </c>
      <c r="Q148" s="103">
        <v>0</v>
      </c>
      <c r="R148" s="155">
        <f t="shared" si="28"/>
        <v>0.54127531253182359</v>
      </c>
    </row>
    <row r="149" spans="1:18" x14ac:dyDescent="0.25">
      <c r="A149" s="85">
        <v>10</v>
      </c>
      <c r="B149" s="149">
        <f t="shared" ref="B149:B211" si="45">DATE($R$1,A149,1)</f>
        <v>45931</v>
      </c>
      <c r="C149" s="165">
        <f t="shared" si="42"/>
        <v>45966</v>
      </c>
      <c r="D149" s="165">
        <f t="shared" si="42"/>
        <v>45985</v>
      </c>
      <c r="E149" s="1" t="s">
        <v>16</v>
      </c>
      <c r="F149" s="85">
        <v>9</v>
      </c>
      <c r="G149" s="151">
        <v>3</v>
      </c>
      <c r="H149" s="152">
        <f t="shared" ref="H149:H211" si="46">+$K$3</f>
        <v>0.24830327934112015</v>
      </c>
      <c r="I149" s="152">
        <f t="shared" si="44"/>
        <v>0.50085767102457412</v>
      </c>
      <c r="J149" s="103">
        <f t="shared" ref="J149:J211" si="47">+$G149*I149</f>
        <v>1.5025730130737225</v>
      </c>
      <c r="K149" s="153">
        <f t="shared" si="41"/>
        <v>0.74490983802336042</v>
      </c>
      <c r="L149" s="154">
        <f t="shared" si="43"/>
        <v>0.75766317505036207</v>
      </c>
      <c r="M149" s="103">
        <f t="shared" ref="M149:M211" si="48">G149/$G$212*$M$14</f>
        <v>5.4249793747373591E-2</v>
      </c>
      <c r="N149" s="155">
        <f t="shared" ref="N149:N211" si="49">SUM(L149:M149)</f>
        <v>0.81191296879773567</v>
      </c>
      <c r="O149" s="103">
        <v>0</v>
      </c>
      <c r="P149" s="103">
        <v>0</v>
      </c>
      <c r="Q149" s="103">
        <v>0</v>
      </c>
      <c r="R149" s="155">
        <f t="shared" ref="R149:R211" si="50">+N149-Q149</f>
        <v>0.81191296879773567</v>
      </c>
    </row>
    <row r="150" spans="1:18" x14ac:dyDescent="0.25">
      <c r="A150" s="85">
        <v>11</v>
      </c>
      <c r="B150" s="149">
        <f t="shared" si="45"/>
        <v>45962</v>
      </c>
      <c r="C150" s="165">
        <f t="shared" si="42"/>
        <v>45994</v>
      </c>
      <c r="D150" s="165">
        <f t="shared" si="42"/>
        <v>46015</v>
      </c>
      <c r="E150" s="1" t="s">
        <v>16</v>
      </c>
      <c r="F150" s="85">
        <v>9</v>
      </c>
      <c r="G150" s="151">
        <v>1</v>
      </c>
      <c r="H150" s="152">
        <f t="shared" si="46"/>
        <v>0.24830327934112015</v>
      </c>
      <c r="I150" s="152">
        <f t="shared" si="44"/>
        <v>0.50085767102457412</v>
      </c>
      <c r="J150" s="103">
        <f t="shared" si="47"/>
        <v>0.50085767102457412</v>
      </c>
      <c r="K150" s="153">
        <f t="shared" si="41"/>
        <v>0.24830327934112015</v>
      </c>
      <c r="L150" s="154">
        <f t="shared" si="43"/>
        <v>0.25255439168345395</v>
      </c>
      <c r="M150" s="103">
        <f t="shared" si="48"/>
        <v>1.8083264582457861E-2</v>
      </c>
      <c r="N150" s="155">
        <f t="shared" si="49"/>
        <v>0.2706376562659118</v>
      </c>
      <c r="O150" s="103">
        <v>0</v>
      </c>
      <c r="P150" s="103">
        <v>0</v>
      </c>
      <c r="Q150" s="103">
        <v>0</v>
      </c>
      <c r="R150" s="155">
        <f t="shared" si="50"/>
        <v>0.2706376562659118</v>
      </c>
    </row>
    <row r="151" spans="1:18" s="169" customFormat="1" x14ac:dyDescent="0.25">
      <c r="A151" s="85">
        <v>12</v>
      </c>
      <c r="B151" s="167">
        <f t="shared" si="45"/>
        <v>45992</v>
      </c>
      <c r="C151" s="165">
        <f t="shared" si="42"/>
        <v>46028</v>
      </c>
      <c r="D151" s="165">
        <f t="shared" si="42"/>
        <v>46048</v>
      </c>
      <c r="E151" s="168" t="s">
        <v>16</v>
      </c>
      <c r="F151" s="126">
        <v>9</v>
      </c>
      <c r="G151" s="207">
        <v>2</v>
      </c>
      <c r="H151" s="157">
        <f t="shared" si="46"/>
        <v>0.24830327934112015</v>
      </c>
      <c r="I151" s="157">
        <f t="shared" si="44"/>
        <v>0.50085767102457412</v>
      </c>
      <c r="J151" s="158">
        <f t="shared" si="47"/>
        <v>1.0017153420491482</v>
      </c>
      <c r="K151" s="159">
        <f t="shared" si="41"/>
        <v>0.4966065586822403</v>
      </c>
      <c r="L151" s="160">
        <f t="shared" si="43"/>
        <v>0.5051087833669079</v>
      </c>
      <c r="M151" s="158">
        <f t="shared" si="48"/>
        <v>3.6166529164915723E-2</v>
      </c>
      <c r="N151" s="208">
        <f t="shared" si="49"/>
        <v>0.54127531253182359</v>
      </c>
      <c r="O151" s="158">
        <v>0</v>
      </c>
      <c r="P151" s="158">
        <v>0</v>
      </c>
      <c r="Q151" s="158">
        <v>0</v>
      </c>
      <c r="R151" s="208">
        <f t="shared" si="50"/>
        <v>0.54127531253182359</v>
      </c>
    </row>
    <row r="152" spans="1:18" x14ac:dyDescent="0.25">
      <c r="A152" s="85">
        <v>1</v>
      </c>
      <c r="B152" s="149">
        <f t="shared" si="45"/>
        <v>45658</v>
      </c>
      <c r="C152" s="162">
        <f t="shared" ref="C152:D171" si="51">+C140</f>
        <v>45693</v>
      </c>
      <c r="D152" s="162">
        <f t="shared" si="51"/>
        <v>45712</v>
      </c>
      <c r="E152" s="172" t="s">
        <v>56</v>
      </c>
      <c r="F152" s="85">
        <v>9</v>
      </c>
      <c r="G152" s="151">
        <v>137</v>
      </c>
      <c r="H152" s="152">
        <f t="shared" si="46"/>
        <v>0.24830327934112015</v>
      </c>
      <c r="I152" s="152">
        <f t="shared" si="44"/>
        <v>0.50085767102457412</v>
      </c>
      <c r="J152" s="103">
        <f t="shared" si="47"/>
        <v>68.61750093036666</v>
      </c>
      <c r="K152" s="153">
        <f t="shared" si="41"/>
        <v>34.017549269733458</v>
      </c>
      <c r="L152" s="154">
        <f t="shared" si="43"/>
        <v>34.599951660633202</v>
      </c>
      <c r="M152" s="103">
        <f t="shared" si="48"/>
        <v>2.4774072477967271</v>
      </c>
      <c r="N152" s="155">
        <f t="shared" si="49"/>
        <v>37.077358908429929</v>
      </c>
      <c r="O152" s="103">
        <v>0</v>
      </c>
      <c r="P152" s="103">
        <v>0</v>
      </c>
      <c r="Q152" s="103">
        <v>0</v>
      </c>
      <c r="R152" s="155">
        <f t="shared" si="50"/>
        <v>37.077358908429929</v>
      </c>
    </row>
    <row r="153" spans="1:18" x14ac:dyDescent="0.25">
      <c r="A153" s="85">
        <v>2</v>
      </c>
      <c r="B153" s="149">
        <f t="shared" si="45"/>
        <v>45689</v>
      </c>
      <c r="C153" s="165">
        <f t="shared" si="51"/>
        <v>45721</v>
      </c>
      <c r="D153" s="165">
        <f t="shared" si="51"/>
        <v>45740</v>
      </c>
      <c r="E153" s="173" t="s">
        <v>56</v>
      </c>
      <c r="F153" s="85">
        <v>9</v>
      </c>
      <c r="G153" s="151">
        <v>156</v>
      </c>
      <c r="H153" s="152">
        <f t="shared" si="46"/>
        <v>0.24830327934112015</v>
      </c>
      <c r="I153" s="152">
        <f t="shared" si="44"/>
        <v>0.50085767102457412</v>
      </c>
      <c r="J153" s="103">
        <f t="shared" si="47"/>
        <v>78.133796679833566</v>
      </c>
      <c r="K153" s="153">
        <f t="shared" si="41"/>
        <v>38.735311577214745</v>
      </c>
      <c r="L153" s="154">
        <f t="shared" si="43"/>
        <v>39.398485102618821</v>
      </c>
      <c r="M153" s="103">
        <f t="shared" si="48"/>
        <v>2.8209892748634267</v>
      </c>
      <c r="N153" s="155">
        <f t="shared" si="49"/>
        <v>42.21947437748225</v>
      </c>
      <c r="O153" s="103">
        <v>0</v>
      </c>
      <c r="P153" s="103">
        <v>0</v>
      </c>
      <c r="Q153" s="103">
        <v>0</v>
      </c>
      <c r="R153" s="155">
        <f t="shared" si="50"/>
        <v>42.21947437748225</v>
      </c>
    </row>
    <row r="154" spans="1:18" x14ac:dyDescent="0.25">
      <c r="A154" s="85">
        <v>3</v>
      </c>
      <c r="B154" s="149">
        <f t="shared" si="45"/>
        <v>45717</v>
      </c>
      <c r="C154" s="165">
        <f t="shared" si="51"/>
        <v>45750</v>
      </c>
      <c r="D154" s="165">
        <f t="shared" si="51"/>
        <v>45771</v>
      </c>
      <c r="E154" s="173" t="s">
        <v>56</v>
      </c>
      <c r="F154" s="85">
        <v>9</v>
      </c>
      <c r="G154" s="151">
        <v>113</v>
      </c>
      <c r="H154" s="152">
        <f t="shared" si="46"/>
        <v>0.24830327934112015</v>
      </c>
      <c r="I154" s="152">
        <f t="shared" si="44"/>
        <v>0.50085767102457412</v>
      </c>
      <c r="J154" s="103">
        <f t="shared" si="47"/>
        <v>56.596916825776873</v>
      </c>
      <c r="K154" s="153">
        <f t="shared" si="41"/>
        <v>28.058270565546575</v>
      </c>
      <c r="L154" s="154">
        <f>+J154-K154</f>
        <v>28.538646260230298</v>
      </c>
      <c r="M154" s="103">
        <f t="shared" si="48"/>
        <v>2.0434088978177383</v>
      </c>
      <c r="N154" s="155">
        <f t="shared" si="49"/>
        <v>30.582055158048036</v>
      </c>
      <c r="O154" s="103">
        <v>0</v>
      </c>
      <c r="P154" s="103">
        <v>0</v>
      </c>
      <c r="Q154" s="103">
        <v>0</v>
      </c>
      <c r="R154" s="155">
        <f t="shared" si="50"/>
        <v>30.582055158048036</v>
      </c>
    </row>
    <row r="155" spans="1:18" x14ac:dyDescent="0.25">
      <c r="A155" s="85">
        <v>4</v>
      </c>
      <c r="B155" s="149">
        <f t="shared" si="45"/>
        <v>45748</v>
      </c>
      <c r="C155" s="165">
        <f t="shared" si="51"/>
        <v>45782</v>
      </c>
      <c r="D155" s="165">
        <f t="shared" si="51"/>
        <v>45803</v>
      </c>
      <c r="E155" s="173" t="s">
        <v>56</v>
      </c>
      <c r="F155" s="85">
        <v>9</v>
      </c>
      <c r="G155" s="151">
        <v>112</v>
      </c>
      <c r="H155" s="152">
        <f t="shared" si="46"/>
        <v>0.24830327934112015</v>
      </c>
      <c r="I155" s="152">
        <f t="shared" si="44"/>
        <v>0.50085767102457412</v>
      </c>
      <c r="J155" s="103">
        <f t="shared" si="47"/>
        <v>56.096059154752304</v>
      </c>
      <c r="K155" s="153">
        <f t="shared" si="41"/>
        <v>27.809967286205456</v>
      </c>
      <c r="L155" s="154">
        <f t="shared" ref="L155:L165" si="52">+J155-K155</f>
        <v>28.286091868546848</v>
      </c>
      <c r="M155" s="103">
        <f t="shared" si="48"/>
        <v>2.0253256332352807</v>
      </c>
      <c r="N155" s="155">
        <f t="shared" si="49"/>
        <v>30.311417501782127</v>
      </c>
      <c r="O155" s="103">
        <v>0</v>
      </c>
      <c r="P155" s="103">
        <v>0</v>
      </c>
      <c r="Q155" s="103">
        <v>0</v>
      </c>
      <c r="R155" s="155">
        <f t="shared" si="50"/>
        <v>30.311417501782127</v>
      </c>
    </row>
    <row r="156" spans="1:18" x14ac:dyDescent="0.25">
      <c r="A156" s="85">
        <v>5</v>
      </c>
      <c r="B156" s="149">
        <f t="shared" si="45"/>
        <v>45778</v>
      </c>
      <c r="C156" s="165">
        <f t="shared" si="51"/>
        <v>45812</v>
      </c>
      <c r="D156" s="165">
        <f t="shared" si="51"/>
        <v>45832</v>
      </c>
      <c r="E156" s="173" t="s">
        <v>56</v>
      </c>
      <c r="F156" s="85">
        <v>9</v>
      </c>
      <c r="G156" s="151">
        <v>142</v>
      </c>
      <c r="H156" s="152">
        <f t="shared" si="46"/>
        <v>0.24830327934112015</v>
      </c>
      <c r="I156" s="152">
        <f t="shared" si="44"/>
        <v>0.50085767102457412</v>
      </c>
      <c r="J156" s="103">
        <f t="shared" si="47"/>
        <v>71.121789285489527</v>
      </c>
      <c r="K156" s="153">
        <f t="shared" si="41"/>
        <v>35.259065666439064</v>
      </c>
      <c r="L156" s="154">
        <f t="shared" si="52"/>
        <v>35.862723619050463</v>
      </c>
      <c r="M156" s="103">
        <f t="shared" si="48"/>
        <v>2.5678235707090167</v>
      </c>
      <c r="N156" s="155">
        <f t="shared" si="49"/>
        <v>38.43054718975948</v>
      </c>
      <c r="O156" s="103">
        <v>0</v>
      </c>
      <c r="P156" s="103">
        <v>0</v>
      </c>
      <c r="Q156" s="103">
        <v>0</v>
      </c>
      <c r="R156" s="155">
        <f t="shared" si="50"/>
        <v>38.43054718975948</v>
      </c>
    </row>
    <row r="157" spans="1:18" x14ac:dyDescent="0.25">
      <c r="A157" s="85">
        <v>6</v>
      </c>
      <c r="B157" s="149">
        <f t="shared" si="45"/>
        <v>45809</v>
      </c>
      <c r="C157" s="165">
        <f t="shared" si="51"/>
        <v>45841</v>
      </c>
      <c r="D157" s="165">
        <f t="shared" si="51"/>
        <v>45862</v>
      </c>
      <c r="E157" s="173" t="s">
        <v>56</v>
      </c>
      <c r="F157" s="85">
        <v>9</v>
      </c>
      <c r="G157" s="151">
        <v>165</v>
      </c>
      <c r="H157" s="152">
        <f t="shared" si="46"/>
        <v>0.24830327934112015</v>
      </c>
      <c r="I157" s="152">
        <f t="shared" si="44"/>
        <v>0.50085767102457412</v>
      </c>
      <c r="J157" s="103">
        <f t="shared" si="47"/>
        <v>82.641515719054738</v>
      </c>
      <c r="K157" s="153">
        <f t="shared" si="41"/>
        <v>40.970041091284827</v>
      </c>
      <c r="L157" s="154">
        <f t="shared" si="52"/>
        <v>41.671474627769911</v>
      </c>
      <c r="M157" s="103">
        <f t="shared" si="48"/>
        <v>2.9837386561055474</v>
      </c>
      <c r="N157" s="155">
        <f t="shared" si="49"/>
        <v>44.655213283875455</v>
      </c>
      <c r="O157" s="103">
        <v>0</v>
      </c>
      <c r="P157" s="103">
        <v>0</v>
      </c>
      <c r="Q157" s="103">
        <v>0</v>
      </c>
      <c r="R157" s="155">
        <f t="shared" si="50"/>
        <v>44.655213283875455</v>
      </c>
    </row>
    <row r="158" spans="1:18" x14ac:dyDescent="0.25">
      <c r="A158" s="85">
        <v>7</v>
      </c>
      <c r="B158" s="149">
        <f t="shared" si="45"/>
        <v>45839</v>
      </c>
      <c r="C158" s="165">
        <f t="shared" si="51"/>
        <v>45874</v>
      </c>
      <c r="D158" s="165">
        <f t="shared" si="51"/>
        <v>45894</v>
      </c>
      <c r="E158" s="173" t="s">
        <v>56</v>
      </c>
      <c r="F158" s="85">
        <v>9</v>
      </c>
      <c r="G158" s="151">
        <v>185</v>
      </c>
      <c r="H158" s="152">
        <f t="shared" si="46"/>
        <v>0.24830327934112015</v>
      </c>
      <c r="I158" s="152">
        <f t="shared" si="44"/>
        <v>0.50085767102457412</v>
      </c>
      <c r="J158" s="103">
        <f t="shared" si="47"/>
        <v>92.65866913954622</v>
      </c>
      <c r="K158" s="153">
        <f t="shared" si="41"/>
        <v>45.93610667810723</v>
      </c>
      <c r="L158" s="154">
        <f t="shared" si="52"/>
        <v>46.72256246143899</v>
      </c>
      <c r="M158" s="103">
        <f t="shared" si="48"/>
        <v>3.3454039477547046</v>
      </c>
      <c r="N158" s="155">
        <f t="shared" si="49"/>
        <v>50.067966409193694</v>
      </c>
      <c r="O158" s="103">
        <v>0</v>
      </c>
      <c r="P158" s="103">
        <v>0</v>
      </c>
      <c r="Q158" s="103">
        <v>0</v>
      </c>
      <c r="R158" s="155">
        <f t="shared" si="50"/>
        <v>50.067966409193694</v>
      </c>
    </row>
    <row r="159" spans="1:18" x14ac:dyDescent="0.25">
      <c r="A159" s="85">
        <v>8</v>
      </c>
      <c r="B159" s="149">
        <f t="shared" si="45"/>
        <v>45870</v>
      </c>
      <c r="C159" s="165">
        <f t="shared" si="51"/>
        <v>45904</v>
      </c>
      <c r="D159" s="165">
        <f t="shared" si="51"/>
        <v>45924</v>
      </c>
      <c r="E159" s="173" t="s">
        <v>56</v>
      </c>
      <c r="F159" s="85">
        <v>9</v>
      </c>
      <c r="G159" s="151">
        <v>191</v>
      </c>
      <c r="H159" s="152">
        <f t="shared" si="46"/>
        <v>0.24830327934112015</v>
      </c>
      <c r="I159" s="152">
        <f t="shared" si="44"/>
        <v>0.50085767102457412</v>
      </c>
      <c r="J159" s="103">
        <f t="shared" si="47"/>
        <v>95.663815165693663</v>
      </c>
      <c r="K159" s="153">
        <f t="shared" si="41"/>
        <v>47.425926354153951</v>
      </c>
      <c r="L159" s="154">
        <f t="shared" si="52"/>
        <v>48.237888811539712</v>
      </c>
      <c r="M159" s="103">
        <f t="shared" si="48"/>
        <v>3.4539035352494518</v>
      </c>
      <c r="N159" s="155">
        <f t="shared" si="49"/>
        <v>51.691792346789164</v>
      </c>
      <c r="O159" s="103">
        <v>0</v>
      </c>
      <c r="P159" s="103">
        <v>0</v>
      </c>
      <c r="Q159" s="103">
        <v>0</v>
      </c>
      <c r="R159" s="155">
        <f t="shared" si="50"/>
        <v>51.691792346789164</v>
      </c>
    </row>
    <row r="160" spans="1:18" x14ac:dyDescent="0.25">
      <c r="A160" s="85">
        <v>9</v>
      </c>
      <c r="B160" s="149">
        <f t="shared" si="45"/>
        <v>45901</v>
      </c>
      <c r="C160" s="165">
        <f t="shared" si="51"/>
        <v>45933</v>
      </c>
      <c r="D160" s="165">
        <f t="shared" si="51"/>
        <v>45954</v>
      </c>
      <c r="E160" s="173" t="s">
        <v>56</v>
      </c>
      <c r="F160" s="85">
        <v>9</v>
      </c>
      <c r="G160" s="151">
        <v>140</v>
      </c>
      <c r="H160" s="152">
        <f t="shared" si="46"/>
        <v>0.24830327934112015</v>
      </c>
      <c r="I160" s="152">
        <f t="shared" si="44"/>
        <v>0.50085767102457412</v>
      </c>
      <c r="J160" s="103">
        <f t="shared" si="47"/>
        <v>70.120073943440374</v>
      </c>
      <c r="K160" s="153">
        <f t="shared" si="41"/>
        <v>34.762459107756818</v>
      </c>
      <c r="L160" s="154">
        <f t="shared" si="52"/>
        <v>35.357614835683556</v>
      </c>
      <c r="M160" s="103">
        <f t="shared" si="48"/>
        <v>2.5316570415441011</v>
      </c>
      <c r="N160" s="155">
        <f t="shared" si="49"/>
        <v>37.889271877227657</v>
      </c>
      <c r="O160" s="103">
        <v>0</v>
      </c>
      <c r="P160" s="103">
        <v>0</v>
      </c>
      <c r="Q160" s="103">
        <v>0</v>
      </c>
      <c r="R160" s="155">
        <f t="shared" si="50"/>
        <v>37.889271877227657</v>
      </c>
    </row>
    <row r="161" spans="1:18" x14ac:dyDescent="0.25">
      <c r="A161" s="85">
        <v>10</v>
      </c>
      <c r="B161" s="149">
        <f t="shared" si="45"/>
        <v>45931</v>
      </c>
      <c r="C161" s="165">
        <f t="shared" si="51"/>
        <v>45966</v>
      </c>
      <c r="D161" s="165">
        <f t="shared" si="51"/>
        <v>45985</v>
      </c>
      <c r="E161" s="173" t="s">
        <v>56</v>
      </c>
      <c r="F161" s="85">
        <v>9</v>
      </c>
      <c r="G161" s="151">
        <v>137</v>
      </c>
      <c r="H161" s="152">
        <f t="shared" si="46"/>
        <v>0.24830327934112015</v>
      </c>
      <c r="I161" s="152">
        <f t="shared" si="44"/>
        <v>0.50085767102457412</v>
      </c>
      <c r="J161" s="103">
        <f t="shared" si="47"/>
        <v>68.61750093036666</v>
      </c>
      <c r="K161" s="153">
        <f t="shared" si="41"/>
        <v>34.017549269733458</v>
      </c>
      <c r="L161" s="154">
        <f t="shared" si="52"/>
        <v>34.599951660633202</v>
      </c>
      <c r="M161" s="103">
        <f t="shared" si="48"/>
        <v>2.4774072477967271</v>
      </c>
      <c r="N161" s="155">
        <f t="shared" si="49"/>
        <v>37.077358908429929</v>
      </c>
      <c r="O161" s="103">
        <v>0</v>
      </c>
      <c r="P161" s="103">
        <v>0</v>
      </c>
      <c r="Q161" s="103">
        <v>0</v>
      </c>
      <c r="R161" s="155">
        <f t="shared" si="50"/>
        <v>37.077358908429929</v>
      </c>
    </row>
    <row r="162" spans="1:18" x14ac:dyDescent="0.25">
      <c r="A162" s="85">
        <v>11</v>
      </c>
      <c r="B162" s="149">
        <f t="shared" si="45"/>
        <v>45962</v>
      </c>
      <c r="C162" s="165">
        <f t="shared" si="51"/>
        <v>45994</v>
      </c>
      <c r="D162" s="165">
        <f t="shared" si="51"/>
        <v>46015</v>
      </c>
      <c r="E162" s="173" t="s">
        <v>56</v>
      </c>
      <c r="F162" s="85">
        <v>9</v>
      </c>
      <c r="G162" s="151">
        <v>120</v>
      </c>
      <c r="H162" s="152">
        <f t="shared" si="46"/>
        <v>0.24830327934112015</v>
      </c>
      <c r="I162" s="152">
        <f t="shared" si="44"/>
        <v>0.50085767102457412</v>
      </c>
      <c r="J162" s="103">
        <f t="shared" si="47"/>
        <v>60.102920522948892</v>
      </c>
      <c r="K162" s="153">
        <f t="shared" si="41"/>
        <v>29.796393520934419</v>
      </c>
      <c r="L162" s="154">
        <f t="shared" si="52"/>
        <v>30.306527002014473</v>
      </c>
      <c r="M162" s="103">
        <f t="shared" si="48"/>
        <v>2.1699917498949435</v>
      </c>
      <c r="N162" s="155">
        <f t="shared" si="49"/>
        <v>32.476518751909417</v>
      </c>
      <c r="O162" s="103">
        <v>0</v>
      </c>
      <c r="P162" s="103">
        <v>0</v>
      </c>
      <c r="Q162" s="103">
        <v>0</v>
      </c>
      <c r="R162" s="155">
        <f t="shared" si="50"/>
        <v>32.476518751909417</v>
      </c>
    </row>
    <row r="163" spans="1:18" s="169" customFormat="1" x14ac:dyDescent="0.25">
      <c r="A163" s="85">
        <v>12</v>
      </c>
      <c r="B163" s="167">
        <f t="shared" si="45"/>
        <v>45992</v>
      </c>
      <c r="C163" s="165">
        <f t="shared" si="51"/>
        <v>46028</v>
      </c>
      <c r="D163" s="165">
        <f t="shared" si="51"/>
        <v>46048</v>
      </c>
      <c r="E163" s="174" t="s">
        <v>56</v>
      </c>
      <c r="F163" s="126">
        <v>9</v>
      </c>
      <c r="G163" s="207">
        <v>128</v>
      </c>
      <c r="H163" s="157">
        <f t="shared" si="46"/>
        <v>0.24830327934112015</v>
      </c>
      <c r="I163" s="157">
        <f t="shared" si="44"/>
        <v>0.50085767102457412</v>
      </c>
      <c r="J163" s="158">
        <f t="shared" si="47"/>
        <v>64.109781891145488</v>
      </c>
      <c r="K163" s="159">
        <f t="shared" si="41"/>
        <v>31.782819755663379</v>
      </c>
      <c r="L163" s="160">
        <f t="shared" si="52"/>
        <v>32.326962135482106</v>
      </c>
      <c r="M163" s="158">
        <f t="shared" si="48"/>
        <v>2.3146578665546063</v>
      </c>
      <c r="N163" s="208">
        <f t="shared" si="49"/>
        <v>34.64162000203671</v>
      </c>
      <c r="O163" s="158">
        <v>0</v>
      </c>
      <c r="P163" s="158">
        <v>0</v>
      </c>
      <c r="Q163" s="158">
        <v>0</v>
      </c>
      <c r="R163" s="208">
        <f t="shared" si="50"/>
        <v>34.64162000203671</v>
      </c>
    </row>
    <row r="164" spans="1:18" x14ac:dyDescent="0.25">
      <c r="A164" s="85">
        <v>1</v>
      </c>
      <c r="B164" s="149">
        <f t="shared" si="45"/>
        <v>45658</v>
      </c>
      <c r="C164" s="162">
        <f t="shared" si="51"/>
        <v>45693</v>
      </c>
      <c r="D164" s="162">
        <f t="shared" si="51"/>
        <v>45712</v>
      </c>
      <c r="E164" s="172" t="s">
        <v>57</v>
      </c>
      <c r="F164" s="85">
        <v>9</v>
      </c>
      <c r="G164" s="151">
        <v>11</v>
      </c>
      <c r="H164" s="152">
        <f t="shared" si="46"/>
        <v>0.24830327934112015</v>
      </c>
      <c r="I164" s="152">
        <f t="shared" si="44"/>
        <v>0.50085767102457412</v>
      </c>
      <c r="J164" s="103">
        <f t="shared" si="47"/>
        <v>5.5094343812703155</v>
      </c>
      <c r="K164" s="153">
        <f t="shared" si="41"/>
        <v>2.7313360727523217</v>
      </c>
      <c r="L164" s="154">
        <f t="shared" si="52"/>
        <v>2.7780983085179938</v>
      </c>
      <c r="M164" s="103">
        <f t="shared" si="48"/>
        <v>0.19891591040703652</v>
      </c>
      <c r="N164" s="155">
        <f t="shared" si="49"/>
        <v>2.9770142189250302</v>
      </c>
      <c r="O164" s="103">
        <v>0</v>
      </c>
      <c r="P164" s="103">
        <v>0</v>
      </c>
      <c r="Q164" s="103">
        <v>0</v>
      </c>
      <c r="R164" s="155">
        <f t="shared" si="50"/>
        <v>2.9770142189250302</v>
      </c>
    </row>
    <row r="165" spans="1:18" x14ac:dyDescent="0.25">
      <c r="A165" s="85">
        <v>2</v>
      </c>
      <c r="B165" s="149">
        <f t="shared" si="45"/>
        <v>45689</v>
      </c>
      <c r="C165" s="165">
        <f t="shared" si="51"/>
        <v>45721</v>
      </c>
      <c r="D165" s="165">
        <f t="shared" si="51"/>
        <v>45740</v>
      </c>
      <c r="E165" s="173" t="s">
        <v>57</v>
      </c>
      <c r="F165" s="85">
        <v>9</v>
      </c>
      <c r="G165" s="151">
        <v>9</v>
      </c>
      <c r="H165" s="152">
        <f t="shared" si="46"/>
        <v>0.24830327934112015</v>
      </c>
      <c r="I165" s="152">
        <f t="shared" si="44"/>
        <v>0.50085767102457412</v>
      </c>
      <c r="J165" s="103">
        <f t="shared" si="47"/>
        <v>4.5077190392211675</v>
      </c>
      <c r="K165" s="153">
        <f t="shared" si="41"/>
        <v>2.2347295140700814</v>
      </c>
      <c r="L165" s="154">
        <f t="shared" si="52"/>
        <v>2.2729895251510861</v>
      </c>
      <c r="M165" s="103">
        <f t="shared" si="48"/>
        <v>0.16274938124212077</v>
      </c>
      <c r="N165" s="155">
        <f t="shared" si="49"/>
        <v>2.4357389063932069</v>
      </c>
      <c r="O165" s="103">
        <v>0</v>
      </c>
      <c r="P165" s="103">
        <v>0</v>
      </c>
      <c r="Q165" s="103">
        <v>0</v>
      </c>
      <c r="R165" s="155">
        <f t="shared" si="50"/>
        <v>2.4357389063932069</v>
      </c>
    </row>
    <row r="166" spans="1:18" x14ac:dyDescent="0.25">
      <c r="A166" s="85">
        <v>3</v>
      </c>
      <c r="B166" s="149">
        <f t="shared" si="45"/>
        <v>45717</v>
      </c>
      <c r="C166" s="165">
        <f t="shared" si="51"/>
        <v>45750</v>
      </c>
      <c r="D166" s="165">
        <f t="shared" si="51"/>
        <v>45771</v>
      </c>
      <c r="E166" s="173" t="s">
        <v>57</v>
      </c>
      <c r="F166" s="85">
        <v>9</v>
      </c>
      <c r="G166" s="151">
        <v>8</v>
      </c>
      <c r="H166" s="152">
        <f t="shared" si="46"/>
        <v>0.24830327934112015</v>
      </c>
      <c r="I166" s="152">
        <f t="shared" si="44"/>
        <v>0.50085767102457412</v>
      </c>
      <c r="J166" s="103">
        <f t="shared" si="47"/>
        <v>4.006861368196593</v>
      </c>
      <c r="K166" s="153">
        <f t="shared" si="41"/>
        <v>1.9864262347289612</v>
      </c>
      <c r="L166" s="154">
        <f>+J166-K166</f>
        <v>2.0204351334676316</v>
      </c>
      <c r="M166" s="103">
        <f t="shared" si="48"/>
        <v>0.14466611665966289</v>
      </c>
      <c r="N166" s="155">
        <f t="shared" si="49"/>
        <v>2.1651012501272944</v>
      </c>
      <c r="O166" s="103">
        <v>0</v>
      </c>
      <c r="P166" s="103">
        <v>0</v>
      </c>
      <c r="Q166" s="103">
        <v>0</v>
      </c>
      <c r="R166" s="155">
        <f t="shared" si="50"/>
        <v>2.1651012501272944</v>
      </c>
    </row>
    <row r="167" spans="1:18" x14ac:dyDescent="0.25">
      <c r="A167" s="85">
        <v>4</v>
      </c>
      <c r="B167" s="149">
        <f t="shared" si="45"/>
        <v>45748</v>
      </c>
      <c r="C167" s="165">
        <f t="shared" si="51"/>
        <v>45782</v>
      </c>
      <c r="D167" s="165">
        <f t="shared" si="51"/>
        <v>45803</v>
      </c>
      <c r="E167" s="173" t="s">
        <v>57</v>
      </c>
      <c r="F167" s="85">
        <v>9</v>
      </c>
      <c r="G167" s="151">
        <v>10</v>
      </c>
      <c r="H167" s="152">
        <f t="shared" si="46"/>
        <v>0.24830327934112015</v>
      </c>
      <c r="I167" s="152">
        <f t="shared" si="44"/>
        <v>0.50085767102457412</v>
      </c>
      <c r="J167" s="103">
        <f t="shared" si="47"/>
        <v>5.008576710245741</v>
      </c>
      <c r="K167" s="153">
        <f t="shared" si="41"/>
        <v>2.4830327934112013</v>
      </c>
      <c r="L167" s="154">
        <f t="shared" ref="L167:L177" si="53">+J167-K167</f>
        <v>2.5255439168345397</v>
      </c>
      <c r="M167" s="103">
        <f t="shared" si="48"/>
        <v>0.18083264582457861</v>
      </c>
      <c r="N167" s="155">
        <f t="shared" si="49"/>
        <v>2.7063765626591185</v>
      </c>
      <c r="O167" s="103">
        <v>0</v>
      </c>
      <c r="P167" s="103">
        <v>0</v>
      </c>
      <c r="Q167" s="103">
        <v>0</v>
      </c>
      <c r="R167" s="155">
        <f t="shared" si="50"/>
        <v>2.7063765626591185</v>
      </c>
    </row>
    <row r="168" spans="1:18" x14ac:dyDescent="0.25">
      <c r="A168" s="85">
        <v>5</v>
      </c>
      <c r="B168" s="149">
        <f t="shared" si="45"/>
        <v>45778</v>
      </c>
      <c r="C168" s="165">
        <f t="shared" si="51"/>
        <v>45812</v>
      </c>
      <c r="D168" s="165">
        <f t="shared" si="51"/>
        <v>45832</v>
      </c>
      <c r="E168" s="173" t="s">
        <v>57</v>
      </c>
      <c r="F168" s="85">
        <v>9</v>
      </c>
      <c r="G168" s="151">
        <v>11</v>
      </c>
      <c r="H168" s="152">
        <f t="shared" si="46"/>
        <v>0.24830327934112015</v>
      </c>
      <c r="I168" s="152">
        <f t="shared" si="44"/>
        <v>0.50085767102457412</v>
      </c>
      <c r="J168" s="103">
        <f t="shared" si="47"/>
        <v>5.5094343812703155</v>
      </c>
      <c r="K168" s="153">
        <f t="shared" si="41"/>
        <v>2.7313360727523217</v>
      </c>
      <c r="L168" s="154">
        <f t="shared" si="53"/>
        <v>2.7780983085179938</v>
      </c>
      <c r="M168" s="103">
        <f t="shared" si="48"/>
        <v>0.19891591040703652</v>
      </c>
      <c r="N168" s="155">
        <f t="shared" si="49"/>
        <v>2.9770142189250302</v>
      </c>
      <c r="O168" s="103">
        <v>0</v>
      </c>
      <c r="P168" s="103">
        <v>0</v>
      </c>
      <c r="Q168" s="103">
        <v>0</v>
      </c>
      <c r="R168" s="155">
        <f t="shared" si="50"/>
        <v>2.9770142189250302</v>
      </c>
    </row>
    <row r="169" spans="1:18" x14ac:dyDescent="0.25">
      <c r="A169" s="85">
        <v>6</v>
      </c>
      <c r="B169" s="149">
        <f t="shared" si="45"/>
        <v>45809</v>
      </c>
      <c r="C169" s="165">
        <f t="shared" si="51"/>
        <v>45841</v>
      </c>
      <c r="D169" s="165">
        <f t="shared" si="51"/>
        <v>45862</v>
      </c>
      <c r="E169" s="173" t="s">
        <v>57</v>
      </c>
      <c r="F169" s="85">
        <v>9</v>
      </c>
      <c r="G169" s="151">
        <v>11</v>
      </c>
      <c r="H169" s="152">
        <f t="shared" si="46"/>
        <v>0.24830327934112015</v>
      </c>
      <c r="I169" s="152">
        <f t="shared" si="44"/>
        <v>0.50085767102457412</v>
      </c>
      <c r="J169" s="103">
        <f t="shared" si="47"/>
        <v>5.5094343812703155</v>
      </c>
      <c r="K169" s="153">
        <f t="shared" si="41"/>
        <v>2.7313360727523217</v>
      </c>
      <c r="L169" s="154">
        <f t="shared" si="53"/>
        <v>2.7780983085179938</v>
      </c>
      <c r="M169" s="103">
        <f t="shared" si="48"/>
        <v>0.19891591040703652</v>
      </c>
      <c r="N169" s="155">
        <f t="shared" si="49"/>
        <v>2.9770142189250302</v>
      </c>
      <c r="O169" s="103">
        <v>0</v>
      </c>
      <c r="P169" s="103">
        <v>0</v>
      </c>
      <c r="Q169" s="103">
        <v>0</v>
      </c>
      <c r="R169" s="155">
        <f t="shared" si="50"/>
        <v>2.9770142189250302</v>
      </c>
    </row>
    <row r="170" spans="1:18" x14ac:dyDescent="0.25">
      <c r="A170" s="85">
        <v>7</v>
      </c>
      <c r="B170" s="149">
        <f t="shared" si="45"/>
        <v>45839</v>
      </c>
      <c r="C170" s="165">
        <f t="shared" si="51"/>
        <v>45874</v>
      </c>
      <c r="D170" s="165">
        <f t="shared" si="51"/>
        <v>45894</v>
      </c>
      <c r="E170" s="173" t="s">
        <v>57</v>
      </c>
      <c r="F170" s="85">
        <v>9</v>
      </c>
      <c r="G170" s="151">
        <v>14</v>
      </c>
      <c r="H170" s="152">
        <f t="shared" si="46"/>
        <v>0.24830327934112015</v>
      </c>
      <c r="I170" s="152">
        <f t="shared" si="44"/>
        <v>0.50085767102457412</v>
      </c>
      <c r="J170" s="103">
        <f t="shared" si="47"/>
        <v>7.012007394344038</v>
      </c>
      <c r="K170" s="153">
        <f t="shared" si="41"/>
        <v>3.476245910775682</v>
      </c>
      <c r="L170" s="154">
        <f t="shared" si="53"/>
        <v>3.535761483568356</v>
      </c>
      <c r="M170" s="103">
        <f t="shared" si="48"/>
        <v>0.25316570415441009</v>
      </c>
      <c r="N170" s="155">
        <f t="shared" si="49"/>
        <v>3.7889271877227659</v>
      </c>
      <c r="O170" s="103">
        <v>0</v>
      </c>
      <c r="P170" s="103">
        <v>0</v>
      </c>
      <c r="Q170" s="103">
        <v>0</v>
      </c>
      <c r="R170" s="155">
        <f t="shared" si="50"/>
        <v>3.7889271877227659</v>
      </c>
    </row>
    <row r="171" spans="1:18" x14ac:dyDescent="0.25">
      <c r="A171" s="85">
        <v>8</v>
      </c>
      <c r="B171" s="149">
        <f t="shared" si="45"/>
        <v>45870</v>
      </c>
      <c r="C171" s="165">
        <f t="shared" si="51"/>
        <v>45904</v>
      </c>
      <c r="D171" s="165">
        <f t="shared" si="51"/>
        <v>45924</v>
      </c>
      <c r="E171" s="173" t="s">
        <v>57</v>
      </c>
      <c r="F171" s="85">
        <v>9</v>
      </c>
      <c r="G171" s="151">
        <v>11</v>
      </c>
      <c r="H171" s="152">
        <f t="shared" si="46"/>
        <v>0.24830327934112015</v>
      </c>
      <c r="I171" s="152">
        <f t="shared" si="44"/>
        <v>0.50085767102457412</v>
      </c>
      <c r="J171" s="103">
        <f t="shared" si="47"/>
        <v>5.5094343812703155</v>
      </c>
      <c r="K171" s="153">
        <f t="shared" si="41"/>
        <v>2.7313360727523217</v>
      </c>
      <c r="L171" s="154">
        <f t="shared" si="53"/>
        <v>2.7780983085179938</v>
      </c>
      <c r="M171" s="103">
        <f t="shared" si="48"/>
        <v>0.19891591040703652</v>
      </c>
      <c r="N171" s="155">
        <f t="shared" si="49"/>
        <v>2.9770142189250302</v>
      </c>
      <c r="O171" s="103">
        <v>0</v>
      </c>
      <c r="P171" s="103">
        <v>0</v>
      </c>
      <c r="Q171" s="103">
        <v>0</v>
      </c>
      <c r="R171" s="155">
        <f t="shared" si="50"/>
        <v>2.9770142189250302</v>
      </c>
    </row>
    <row r="172" spans="1:18" x14ac:dyDescent="0.25">
      <c r="A172" s="85">
        <v>9</v>
      </c>
      <c r="B172" s="149">
        <f t="shared" si="45"/>
        <v>45901</v>
      </c>
      <c r="C172" s="165">
        <f t="shared" ref="C172:D175" si="54">+C160</f>
        <v>45933</v>
      </c>
      <c r="D172" s="165">
        <f t="shared" si="54"/>
        <v>45954</v>
      </c>
      <c r="E172" s="173" t="s">
        <v>57</v>
      </c>
      <c r="F172" s="85">
        <v>9</v>
      </c>
      <c r="G172" s="151">
        <v>12</v>
      </c>
      <c r="H172" s="152">
        <f t="shared" si="46"/>
        <v>0.24830327934112015</v>
      </c>
      <c r="I172" s="152">
        <f t="shared" si="44"/>
        <v>0.50085767102457412</v>
      </c>
      <c r="J172" s="103">
        <f t="shared" si="47"/>
        <v>6.0102920522948899</v>
      </c>
      <c r="K172" s="153">
        <f t="shared" si="41"/>
        <v>2.9796393520934417</v>
      </c>
      <c r="L172" s="154">
        <f t="shared" si="53"/>
        <v>3.0306527002014483</v>
      </c>
      <c r="M172" s="103">
        <f t="shared" si="48"/>
        <v>0.21699917498949436</v>
      </c>
      <c r="N172" s="155">
        <f t="shared" si="49"/>
        <v>3.2476518751909427</v>
      </c>
      <c r="O172" s="103">
        <v>0</v>
      </c>
      <c r="P172" s="103">
        <v>0</v>
      </c>
      <c r="Q172" s="103">
        <v>0</v>
      </c>
      <c r="R172" s="155">
        <f t="shared" si="50"/>
        <v>3.2476518751909427</v>
      </c>
    </row>
    <row r="173" spans="1:18" x14ac:dyDescent="0.25">
      <c r="A173" s="85">
        <v>10</v>
      </c>
      <c r="B173" s="149">
        <f t="shared" si="45"/>
        <v>45931</v>
      </c>
      <c r="C173" s="165">
        <f t="shared" si="54"/>
        <v>45966</v>
      </c>
      <c r="D173" s="165">
        <f t="shared" si="54"/>
        <v>45985</v>
      </c>
      <c r="E173" s="173" t="s">
        <v>57</v>
      </c>
      <c r="F173" s="85">
        <v>9</v>
      </c>
      <c r="G173" s="151">
        <v>13</v>
      </c>
      <c r="H173" s="152">
        <f t="shared" si="46"/>
        <v>0.24830327934112015</v>
      </c>
      <c r="I173" s="152">
        <f t="shared" si="44"/>
        <v>0.50085767102457412</v>
      </c>
      <c r="J173" s="103">
        <f t="shared" si="47"/>
        <v>6.5111497233194635</v>
      </c>
      <c r="K173" s="153">
        <f t="shared" si="41"/>
        <v>3.2279426314345621</v>
      </c>
      <c r="L173" s="154">
        <f t="shared" si="53"/>
        <v>3.2832070918849015</v>
      </c>
      <c r="M173" s="103">
        <f t="shared" si="48"/>
        <v>0.23508243957195221</v>
      </c>
      <c r="N173" s="155">
        <f t="shared" si="49"/>
        <v>3.5182895314568539</v>
      </c>
      <c r="O173" s="103">
        <v>0</v>
      </c>
      <c r="P173" s="103">
        <v>0</v>
      </c>
      <c r="Q173" s="103">
        <v>0</v>
      </c>
      <c r="R173" s="155">
        <f t="shared" si="50"/>
        <v>3.5182895314568539</v>
      </c>
    </row>
    <row r="174" spans="1:18" x14ac:dyDescent="0.25">
      <c r="A174" s="85">
        <v>11</v>
      </c>
      <c r="B174" s="149">
        <f t="shared" si="45"/>
        <v>45962</v>
      </c>
      <c r="C174" s="165">
        <f t="shared" si="54"/>
        <v>45994</v>
      </c>
      <c r="D174" s="165">
        <f t="shared" si="54"/>
        <v>46015</v>
      </c>
      <c r="E174" s="173" t="s">
        <v>57</v>
      </c>
      <c r="F174" s="85">
        <v>9</v>
      </c>
      <c r="G174" s="151">
        <v>10</v>
      </c>
      <c r="H174" s="152">
        <f t="shared" si="46"/>
        <v>0.24830327934112015</v>
      </c>
      <c r="I174" s="152">
        <f t="shared" si="44"/>
        <v>0.50085767102457412</v>
      </c>
      <c r="J174" s="103">
        <f t="shared" si="47"/>
        <v>5.008576710245741</v>
      </c>
      <c r="K174" s="153">
        <f t="shared" si="41"/>
        <v>2.4830327934112013</v>
      </c>
      <c r="L174" s="154">
        <f t="shared" si="53"/>
        <v>2.5255439168345397</v>
      </c>
      <c r="M174" s="103">
        <f t="shared" si="48"/>
        <v>0.18083264582457861</v>
      </c>
      <c r="N174" s="155">
        <f t="shared" si="49"/>
        <v>2.7063765626591185</v>
      </c>
      <c r="O174" s="103">
        <v>0</v>
      </c>
      <c r="P174" s="103">
        <v>0</v>
      </c>
      <c r="Q174" s="103">
        <v>0</v>
      </c>
      <c r="R174" s="155">
        <f t="shared" si="50"/>
        <v>2.7063765626591185</v>
      </c>
    </row>
    <row r="175" spans="1:18" s="169" customFormat="1" x14ac:dyDescent="0.25">
      <c r="A175" s="85">
        <v>12</v>
      </c>
      <c r="B175" s="167">
        <f t="shared" si="45"/>
        <v>45992</v>
      </c>
      <c r="C175" s="165">
        <f t="shared" si="54"/>
        <v>46028</v>
      </c>
      <c r="D175" s="165">
        <f t="shared" si="54"/>
        <v>46048</v>
      </c>
      <c r="E175" s="174" t="s">
        <v>57</v>
      </c>
      <c r="F175" s="126">
        <v>9</v>
      </c>
      <c r="G175" s="207">
        <v>7</v>
      </c>
      <c r="H175" s="157">
        <f t="shared" si="46"/>
        <v>0.24830327934112015</v>
      </c>
      <c r="I175" s="157">
        <f t="shared" si="44"/>
        <v>0.50085767102457412</v>
      </c>
      <c r="J175" s="158">
        <f t="shared" si="47"/>
        <v>3.506003697172019</v>
      </c>
      <c r="K175" s="159">
        <f t="shared" si="41"/>
        <v>1.738122955387841</v>
      </c>
      <c r="L175" s="160">
        <f t="shared" si="53"/>
        <v>1.767880741784178</v>
      </c>
      <c r="M175" s="158">
        <f t="shared" si="48"/>
        <v>0.12658285207720504</v>
      </c>
      <c r="N175" s="208">
        <f t="shared" si="49"/>
        <v>1.894463593861383</v>
      </c>
      <c r="O175" s="158">
        <v>0</v>
      </c>
      <c r="P175" s="158">
        <v>0</v>
      </c>
      <c r="Q175" s="158">
        <v>0</v>
      </c>
      <c r="R175" s="208">
        <f t="shared" si="50"/>
        <v>1.894463593861383</v>
      </c>
    </row>
    <row r="176" spans="1:18" x14ac:dyDescent="0.25">
      <c r="A176" s="85">
        <v>1</v>
      </c>
      <c r="B176" s="149">
        <f t="shared" si="45"/>
        <v>45658</v>
      </c>
      <c r="C176" s="162">
        <f t="shared" ref="C176:D187" si="55">+C152</f>
        <v>45693</v>
      </c>
      <c r="D176" s="162">
        <f t="shared" si="55"/>
        <v>45712</v>
      </c>
      <c r="E176" s="172" t="s">
        <v>58</v>
      </c>
      <c r="F176" s="85">
        <v>9</v>
      </c>
      <c r="G176" s="151">
        <v>0</v>
      </c>
      <c r="H176" s="152">
        <f t="shared" si="46"/>
        <v>0.24830327934112015</v>
      </c>
      <c r="I176" s="152">
        <f t="shared" si="44"/>
        <v>0.50085767102457412</v>
      </c>
      <c r="J176" s="103">
        <f t="shared" si="47"/>
        <v>0</v>
      </c>
      <c r="K176" s="153">
        <f t="shared" si="41"/>
        <v>0</v>
      </c>
      <c r="L176" s="154">
        <f t="shared" si="53"/>
        <v>0</v>
      </c>
      <c r="M176" s="103">
        <f t="shared" si="48"/>
        <v>0</v>
      </c>
      <c r="N176" s="155">
        <f t="shared" si="49"/>
        <v>0</v>
      </c>
      <c r="O176" s="103">
        <v>0</v>
      </c>
      <c r="P176" s="103">
        <v>0</v>
      </c>
      <c r="Q176" s="103">
        <v>0</v>
      </c>
      <c r="R176" s="155">
        <f t="shared" si="50"/>
        <v>0</v>
      </c>
    </row>
    <row r="177" spans="1:18" x14ac:dyDescent="0.25">
      <c r="A177" s="85">
        <v>2</v>
      </c>
      <c r="B177" s="149">
        <f t="shared" si="45"/>
        <v>45689</v>
      </c>
      <c r="C177" s="165">
        <f t="shared" si="55"/>
        <v>45721</v>
      </c>
      <c r="D177" s="165">
        <f t="shared" si="55"/>
        <v>45740</v>
      </c>
      <c r="E177" s="1" t="s">
        <v>58</v>
      </c>
      <c r="F177" s="85">
        <v>9</v>
      </c>
      <c r="G177" s="151">
        <v>0</v>
      </c>
      <c r="H177" s="152">
        <f t="shared" si="46"/>
        <v>0.24830327934112015</v>
      </c>
      <c r="I177" s="152">
        <f t="shared" si="44"/>
        <v>0.50085767102457412</v>
      </c>
      <c r="J177" s="103">
        <f t="shared" si="47"/>
        <v>0</v>
      </c>
      <c r="K177" s="153">
        <f t="shared" si="41"/>
        <v>0</v>
      </c>
      <c r="L177" s="154">
        <f t="shared" si="53"/>
        <v>0</v>
      </c>
      <c r="M177" s="103">
        <f t="shared" si="48"/>
        <v>0</v>
      </c>
      <c r="N177" s="155">
        <f t="shared" si="49"/>
        <v>0</v>
      </c>
      <c r="O177" s="103">
        <v>0</v>
      </c>
      <c r="P177" s="103">
        <v>0</v>
      </c>
      <c r="Q177" s="103">
        <v>0</v>
      </c>
      <c r="R177" s="155">
        <f t="shared" si="50"/>
        <v>0</v>
      </c>
    </row>
    <row r="178" spans="1:18" x14ac:dyDescent="0.25">
      <c r="A178" s="85">
        <v>3</v>
      </c>
      <c r="B178" s="149">
        <f t="shared" si="45"/>
        <v>45717</v>
      </c>
      <c r="C178" s="165">
        <f t="shared" si="55"/>
        <v>45750</v>
      </c>
      <c r="D178" s="165">
        <f t="shared" si="55"/>
        <v>45771</v>
      </c>
      <c r="E178" s="1" t="s">
        <v>58</v>
      </c>
      <c r="F178" s="85">
        <v>9</v>
      </c>
      <c r="G178" s="151">
        <v>0</v>
      </c>
      <c r="H178" s="152">
        <f t="shared" si="46"/>
        <v>0.24830327934112015</v>
      </c>
      <c r="I178" s="152">
        <f t="shared" si="44"/>
        <v>0.50085767102457412</v>
      </c>
      <c r="J178" s="103">
        <f t="shared" si="47"/>
        <v>0</v>
      </c>
      <c r="K178" s="153">
        <f t="shared" si="41"/>
        <v>0</v>
      </c>
      <c r="L178" s="154">
        <f>+J178-K178</f>
        <v>0</v>
      </c>
      <c r="M178" s="103">
        <f t="shared" si="48"/>
        <v>0</v>
      </c>
      <c r="N178" s="155">
        <f t="shared" si="49"/>
        <v>0</v>
      </c>
      <c r="O178" s="103">
        <v>0</v>
      </c>
      <c r="P178" s="103">
        <v>0</v>
      </c>
      <c r="Q178" s="103">
        <v>0</v>
      </c>
      <c r="R178" s="155">
        <f t="shared" si="50"/>
        <v>0</v>
      </c>
    </row>
    <row r="179" spans="1:18" x14ac:dyDescent="0.25">
      <c r="A179" s="85">
        <v>4</v>
      </c>
      <c r="B179" s="149">
        <f t="shared" si="45"/>
        <v>45748</v>
      </c>
      <c r="C179" s="165">
        <f t="shared" si="55"/>
        <v>45782</v>
      </c>
      <c r="D179" s="165">
        <f t="shared" si="55"/>
        <v>45803</v>
      </c>
      <c r="E179" s="1" t="s">
        <v>58</v>
      </c>
      <c r="F179" s="85">
        <v>9</v>
      </c>
      <c r="G179" s="151">
        <v>0</v>
      </c>
      <c r="H179" s="152">
        <f t="shared" si="46"/>
        <v>0.24830327934112015</v>
      </c>
      <c r="I179" s="152">
        <f t="shared" si="44"/>
        <v>0.50085767102457412</v>
      </c>
      <c r="J179" s="103">
        <f t="shared" si="47"/>
        <v>0</v>
      </c>
      <c r="K179" s="153">
        <f t="shared" si="41"/>
        <v>0</v>
      </c>
      <c r="L179" s="154">
        <f t="shared" ref="L179:L189" si="56">+J179-K179</f>
        <v>0</v>
      </c>
      <c r="M179" s="103">
        <f t="shared" si="48"/>
        <v>0</v>
      </c>
      <c r="N179" s="155">
        <f t="shared" si="49"/>
        <v>0</v>
      </c>
      <c r="O179" s="103">
        <v>0</v>
      </c>
      <c r="P179" s="103">
        <v>0</v>
      </c>
      <c r="Q179" s="103">
        <v>0</v>
      </c>
      <c r="R179" s="155">
        <f t="shared" si="50"/>
        <v>0</v>
      </c>
    </row>
    <row r="180" spans="1:18" x14ac:dyDescent="0.25">
      <c r="A180" s="85">
        <v>5</v>
      </c>
      <c r="B180" s="149">
        <f t="shared" si="45"/>
        <v>45778</v>
      </c>
      <c r="C180" s="165">
        <f t="shared" si="55"/>
        <v>45812</v>
      </c>
      <c r="D180" s="165">
        <f t="shared" si="55"/>
        <v>45832</v>
      </c>
      <c r="E180" s="1" t="s">
        <v>58</v>
      </c>
      <c r="F180" s="85">
        <v>9</v>
      </c>
      <c r="G180" s="151">
        <v>0</v>
      </c>
      <c r="H180" s="152">
        <f t="shared" si="46"/>
        <v>0.24830327934112015</v>
      </c>
      <c r="I180" s="152">
        <f t="shared" ref="I180:I211" si="57">$J$3</f>
        <v>0.50085767102457412</v>
      </c>
      <c r="J180" s="103">
        <f t="shared" si="47"/>
        <v>0</v>
      </c>
      <c r="K180" s="153">
        <f t="shared" si="41"/>
        <v>0</v>
      </c>
      <c r="L180" s="154">
        <f t="shared" si="56"/>
        <v>0</v>
      </c>
      <c r="M180" s="103">
        <f t="shared" si="48"/>
        <v>0</v>
      </c>
      <c r="N180" s="155">
        <f t="shared" si="49"/>
        <v>0</v>
      </c>
      <c r="O180" s="103">
        <v>0</v>
      </c>
      <c r="P180" s="103">
        <v>0</v>
      </c>
      <c r="Q180" s="103">
        <v>0</v>
      </c>
      <c r="R180" s="155">
        <f t="shared" si="50"/>
        <v>0</v>
      </c>
    </row>
    <row r="181" spans="1:18" x14ac:dyDescent="0.25">
      <c r="A181" s="85">
        <v>6</v>
      </c>
      <c r="B181" s="149">
        <f t="shared" si="45"/>
        <v>45809</v>
      </c>
      <c r="C181" s="165">
        <f t="shared" si="55"/>
        <v>45841</v>
      </c>
      <c r="D181" s="165">
        <f t="shared" si="55"/>
        <v>45862</v>
      </c>
      <c r="E181" s="1" t="s">
        <v>58</v>
      </c>
      <c r="F181" s="85">
        <v>9</v>
      </c>
      <c r="G181" s="151">
        <v>0</v>
      </c>
      <c r="H181" s="152">
        <f t="shared" si="46"/>
        <v>0.24830327934112015</v>
      </c>
      <c r="I181" s="152">
        <f t="shared" si="57"/>
        <v>0.50085767102457412</v>
      </c>
      <c r="J181" s="103">
        <f t="shared" si="47"/>
        <v>0</v>
      </c>
      <c r="K181" s="153">
        <f t="shared" si="41"/>
        <v>0</v>
      </c>
      <c r="L181" s="154">
        <f t="shared" si="56"/>
        <v>0</v>
      </c>
      <c r="M181" s="103">
        <f t="shared" si="48"/>
        <v>0</v>
      </c>
      <c r="N181" s="155">
        <f t="shared" si="49"/>
        <v>0</v>
      </c>
      <c r="O181" s="103">
        <v>0</v>
      </c>
      <c r="P181" s="103">
        <v>0</v>
      </c>
      <c r="Q181" s="103">
        <v>0</v>
      </c>
      <c r="R181" s="155">
        <f t="shared" si="50"/>
        <v>0</v>
      </c>
    </row>
    <row r="182" spans="1:18" x14ac:dyDescent="0.25">
      <c r="A182" s="85">
        <v>7</v>
      </c>
      <c r="B182" s="149">
        <f t="shared" si="45"/>
        <v>45839</v>
      </c>
      <c r="C182" s="165">
        <f t="shared" si="55"/>
        <v>45874</v>
      </c>
      <c r="D182" s="165">
        <f t="shared" si="55"/>
        <v>45894</v>
      </c>
      <c r="E182" s="1" t="s">
        <v>58</v>
      </c>
      <c r="F182" s="85">
        <v>9</v>
      </c>
      <c r="G182" s="151">
        <v>0</v>
      </c>
      <c r="H182" s="152">
        <f t="shared" si="46"/>
        <v>0.24830327934112015</v>
      </c>
      <c r="I182" s="152">
        <f t="shared" si="57"/>
        <v>0.50085767102457412</v>
      </c>
      <c r="J182" s="103">
        <f t="shared" si="47"/>
        <v>0</v>
      </c>
      <c r="K182" s="153">
        <f t="shared" si="41"/>
        <v>0</v>
      </c>
      <c r="L182" s="154">
        <f t="shared" si="56"/>
        <v>0</v>
      </c>
      <c r="M182" s="103">
        <f t="shared" si="48"/>
        <v>0</v>
      </c>
      <c r="N182" s="155">
        <f t="shared" si="49"/>
        <v>0</v>
      </c>
      <c r="O182" s="103">
        <v>0</v>
      </c>
      <c r="P182" s="103">
        <v>0</v>
      </c>
      <c r="Q182" s="103">
        <v>0</v>
      </c>
      <c r="R182" s="155">
        <f t="shared" si="50"/>
        <v>0</v>
      </c>
    </row>
    <row r="183" spans="1:18" x14ac:dyDescent="0.25">
      <c r="A183" s="85">
        <v>8</v>
      </c>
      <c r="B183" s="149">
        <f t="shared" si="45"/>
        <v>45870</v>
      </c>
      <c r="C183" s="165">
        <f t="shared" si="55"/>
        <v>45904</v>
      </c>
      <c r="D183" s="165">
        <f t="shared" si="55"/>
        <v>45924</v>
      </c>
      <c r="E183" s="1" t="s">
        <v>58</v>
      </c>
      <c r="F183" s="85">
        <v>9</v>
      </c>
      <c r="G183" s="151">
        <v>0</v>
      </c>
      <c r="H183" s="152">
        <f t="shared" si="46"/>
        <v>0.24830327934112015</v>
      </c>
      <c r="I183" s="152">
        <f t="shared" si="57"/>
        <v>0.50085767102457412</v>
      </c>
      <c r="J183" s="103">
        <f t="shared" si="47"/>
        <v>0</v>
      </c>
      <c r="K183" s="153">
        <f t="shared" si="41"/>
        <v>0</v>
      </c>
      <c r="L183" s="154">
        <f t="shared" si="56"/>
        <v>0</v>
      </c>
      <c r="M183" s="103">
        <f t="shared" si="48"/>
        <v>0</v>
      </c>
      <c r="N183" s="155">
        <f t="shared" si="49"/>
        <v>0</v>
      </c>
      <c r="O183" s="103">
        <v>0</v>
      </c>
      <c r="P183" s="103">
        <v>0</v>
      </c>
      <c r="Q183" s="103">
        <v>0</v>
      </c>
      <c r="R183" s="155">
        <f t="shared" si="50"/>
        <v>0</v>
      </c>
    </row>
    <row r="184" spans="1:18" x14ac:dyDescent="0.25">
      <c r="A184" s="85">
        <v>9</v>
      </c>
      <c r="B184" s="149">
        <f t="shared" si="45"/>
        <v>45901</v>
      </c>
      <c r="C184" s="165">
        <f t="shared" si="55"/>
        <v>45933</v>
      </c>
      <c r="D184" s="165">
        <f t="shared" si="55"/>
        <v>45954</v>
      </c>
      <c r="E184" s="1" t="s">
        <v>58</v>
      </c>
      <c r="F184" s="85">
        <v>9</v>
      </c>
      <c r="G184" s="151">
        <v>0</v>
      </c>
      <c r="H184" s="152">
        <f t="shared" si="46"/>
        <v>0.24830327934112015</v>
      </c>
      <c r="I184" s="152">
        <f t="shared" si="57"/>
        <v>0.50085767102457412</v>
      </c>
      <c r="J184" s="103">
        <f t="shared" si="47"/>
        <v>0</v>
      </c>
      <c r="K184" s="153">
        <f t="shared" si="41"/>
        <v>0</v>
      </c>
      <c r="L184" s="154">
        <f t="shared" si="56"/>
        <v>0</v>
      </c>
      <c r="M184" s="103">
        <f t="shared" si="48"/>
        <v>0</v>
      </c>
      <c r="N184" s="155">
        <f t="shared" si="49"/>
        <v>0</v>
      </c>
      <c r="O184" s="103">
        <v>0</v>
      </c>
      <c r="P184" s="103">
        <v>0</v>
      </c>
      <c r="Q184" s="103">
        <v>0</v>
      </c>
      <c r="R184" s="155">
        <f t="shared" si="50"/>
        <v>0</v>
      </c>
    </row>
    <row r="185" spans="1:18" x14ac:dyDescent="0.25">
      <c r="A185" s="85">
        <v>10</v>
      </c>
      <c r="B185" s="149">
        <f t="shared" si="45"/>
        <v>45931</v>
      </c>
      <c r="C185" s="165">
        <f t="shared" si="55"/>
        <v>45966</v>
      </c>
      <c r="D185" s="165">
        <f t="shared" si="55"/>
        <v>45985</v>
      </c>
      <c r="E185" s="1" t="s">
        <v>58</v>
      </c>
      <c r="F185" s="85">
        <v>9</v>
      </c>
      <c r="G185" s="151">
        <v>0</v>
      </c>
      <c r="H185" s="152">
        <f t="shared" si="46"/>
        <v>0.24830327934112015</v>
      </c>
      <c r="I185" s="152">
        <f t="shared" si="57"/>
        <v>0.50085767102457412</v>
      </c>
      <c r="J185" s="103">
        <f t="shared" si="47"/>
        <v>0</v>
      </c>
      <c r="K185" s="153">
        <f t="shared" si="41"/>
        <v>0</v>
      </c>
      <c r="L185" s="154">
        <f t="shared" si="56"/>
        <v>0</v>
      </c>
      <c r="M185" s="103">
        <f t="shared" si="48"/>
        <v>0</v>
      </c>
      <c r="N185" s="155">
        <f t="shared" si="49"/>
        <v>0</v>
      </c>
      <c r="O185" s="103">
        <v>0</v>
      </c>
      <c r="P185" s="103">
        <v>0</v>
      </c>
      <c r="Q185" s="103">
        <v>0</v>
      </c>
      <c r="R185" s="155">
        <f t="shared" si="50"/>
        <v>0</v>
      </c>
    </row>
    <row r="186" spans="1:18" x14ac:dyDescent="0.25">
      <c r="A186" s="85">
        <v>11</v>
      </c>
      <c r="B186" s="149">
        <f t="shared" si="45"/>
        <v>45962</v>
      </c>
      <c r="C186" s="165">
        <f t="shared" si="55"/>
        <v>45994</v>
      </c>
      <c r="D186" s="165">
        <f t="shared" si="55"/>
        <v>46015</v>
      </c>
      <c r="E186" s="1" t="s">
        <v>58</v>
      </c>
      <c r="F186" s="85">
        <v>9</v>
      </c>
      <c r="G186" s="151">
        <v>0</v>
      </c>
      <c r="H186" s="152">
        <f t="shared" si="46"/>
        <v>0.24830327934112015</v>
      </c>
      <c r="I186" s="152">
        <f t="shared" si="57"/>
        <v>0.50085767102457412</v>
      </c>
      <c r="J186" s="103">
        <f t="shared" si="47"/>
        <v>0</v>
      </c>
      <c r="K186" s="153">
        <f t="shared" si="41"/>
        <v>0</v>
      </c>
      <c r="L186" s="154">
        <f t="shared" si="56"/>
        <v>0</v>
      </c>
      <c r="M186" s="103">
        <f t="shared" si="48"/>
        <v>0</v>
      </c>
      <c r="N186" s="155">
        <f t="shared" si="49"/>
        <v>0</v>
      </c>
      <c r="O186" s="103">
        <v>0</v>
      </c>
      <c r="P186" s="103">
        <v>0</v>
      </c>
      <c r="Q186" s="103">
        <v>0</v>
      </c>
      <c r="R186" s="155">
        <f t="shared" si="50"/>
        <v>0</v>
      </c>
    </row>
    <row r="187" spans="1:18" s="169" customFormat="1" x14ac:dyDescent="0.25">
      <c r="A187" s="85">
        <v>12</v>
      </c>
      <c r="B187" s="167">
        <f t="shared" si="45"/>
        <v>45992</v>
      </c>
      <c r="C187" s="165">
        <f t="shared" si="55"/>
        <v>46028</v>
      </c>
      <c r="D187" s="165">
        <f t="shared" si="55"/>
        <v>46048</v>
      </c>
      <c r="E187" s="168" t="s">
        <v>58</v>
      </c>
      <c r="F187" s="126">
        <v>9</v>
      </c>
      <c r="G187" s="207">
        <v>0</v>
      </c>
      <c r="H187" s="157">
        <f t="shared" si="46"/>
        <v>0.24830327934112015</v>
      </c>
      <c r="I187" s="157">
        <f t="shared" si="57"/>
        <v>0.50085767102457412</v>
      </c>
      <c r="J187" s="158">
        <f t="shared" si="47"/>
        <v>0</v>
      </c>
      <c r="K187" s="159">
        <f t="shared" si="41"/>
        <v>0</v>
      </c>
      <c r="L187" s="160">
        <f t="shared" si="56"/>
        <v>0</v>
      </c>
      <c r="M187" s="158">
        <f t="shared" si="48"/>
        <v>0</v>
      </c>
      <c r="N187" s="208">
        <f t="shared" si="49"/>
        <v>0</v>
      </c>
      <c r="O187" s="158">
        <v>0</v>
      </c>
      <c r="P187" s="158">
        <v>0</v>
      </c>
      <c r="Q187" s="158">
        <v>0</v>
      </c>
      <c r="R187" s="208">
        <f t="shared" si="50"/>
        <v>0</v>
      </c>
    </row>
    <row r="188" spans="1:18" x14ac:dyDescent="0.25">
      <c r="A188" s="85">
        <v>1</v>
      </c>
      <c r="B188" s="149">
        <f t="shared" si="45"/>
        <v>45658</v>
      </c>
      <c r="C188" s="162">
        <f t="shared" ref="C188:D211" si="58">+C176</f>
        <v>45693</v>
      </c>
      <c r="D188" s="162">
        <f t="shared" si="58"/>
        <v>45712</v>
      </c>
      <c r="E188" s="150" t="s">
        <v>59</v>
      </c>
      <c r="F188" s="85">
        <v>9</v>
      </c>
      <c r="G188" s="151">
        <v>37</v>
      </c>
      <c r="H188" s="152">
        <f t="shared" si="46"/>
        <v>0.24830327934112015</v>
      </c>
      <c r="I188" s="152">
        <f t="shared" si="57"/>
        <v>0.50085767102457412</v>
      </c>
      <c r="J188" s="103">
        <f t="shared" si="47"/>
        <v>18.531733827909243</v>
      </c>
      <c r="K188" s="153">
        <f t="shared" si="41"/>
        <v>9.1872213356214463</v>
      </c>
      <c r="L188" s="154">
        <f t="shared" si="56"/>
        <v>9.3445124922877962</v>
      </c>
      <c r="M188" s="103">
        <f t="shared" si="48"/>
        <v>0.66908078955094097</v>
      </c>
      <c r="N188" s="155">
        <f t="shared" si="49"/>
        <v>10.013593281838737</v>
      </c>
      <c r="O188" s="103">
        <v>0</v>
      </c>
      <c r="P188" s="103">
        <v>0</v>
      </c>
      <c r="Q188" s="103">
        <v>0</v>
      </c>
      <c r="R188" s="155">
        <f t="shared" si="50"/>
        <v>10.013593281838737</v>
      </c>
    </row>
    <row r="189" spans="1:18" x14ac:dyDescent="0.25">
      <c r="A189" s="85">
        <v>2</v>
      </c>
      <c r="B189" s="149">
        <f t="shared" si="45"/>
        <v>45689</v>
      </c>
      <c r="C189" s="165">
        <f t="shared" si="58"/>
        <v>45721</v>
      </c>
      <c r="D189" s="165">
        <f t="shared" si="58"/>
        <v>45740</v>
      </c>
      <c r="E189" s="156" t="s">
        <v>59</v>
      </c>
      <c r="F189" s="85">
        <v>9</v>
      </c>
      <c r="G189" s="151">
        <v>42</v>
      </c>
      <c r="H189" s="152">
        <f t="shared" si="46"/>
        <v>0.24830327934112015</v>
      </c>
      <c r="I189" s="152">
        <f t="shared" si="57"/>
        <v>0.50085767102457412</v>
      </c>
      <c r="J189" s="103">
        <f t="shared" si="47"/>
        <v>21.036022183032113</v>
      </c>
      <c r="K189" s="153">
        <f t="shared" si="41"/>
        <v>10.428737732327047</v>
      </c>
      <c r="L189" s="154">
        <f t="shared" si="56"/>
        <v>10.607284450705066</v>
      </c>
      <c r="M189" s="103">
        <f t="shared" si="48"/>
        <v>0.75949711246323015</v>
      </c>
      <c r="N189" s="155">
        <f t="shared" si="49"/>
        <v>11.366781563168296</v>
      </c>
      <c r="O189" s="103">
        <v>0</v>
      </c>
      <c r="P189" s="103">
        <v>0</v>
      </c>
      <c r="Q189" s="103">
        <v>0</v>
      </c>
      <c r="R189" s="155">
        <f t="shared" si="50"/>
        <v>11.366781563168296</v>
      </c>
    </row>
    <row r="190" spans="1:18" x14ac:dyDescent="0.25">
      <c r="A190" s="85">
        <v>3</v>
      </c>
      <c r="B190" s="149">
        <f t="shared" si="45"/>
        <v>45717</v>
      </c>
      <c r="C190" s="165">
        <f t="shared" si="58"/>
        <v>45750</v>
      </c>
      <c r="D190" s="165">
        <f t="shared" si="58"/>
        <v>45771</v>
      </c>
      <c r="E190" s="156" t="s">
        <v>59</v>
      </c>
      <c r="F190" s="85">
        <v>9</v>
      </c>
      <c r="G190" s="151">
        <v>30</v>
      </c>
      <c r="H190" s="152">
        <f t="shared" si="46"/>
        <v>0.24830327934112015</v>
      </c>
      <c r="I190" s="152">
        <f t="shared" si="57"/>
        <v>0.50085767102457412</v>
      </c>
      <c r="J190" s="103">
        <f t="shared" si="47"/>
        <v>15.025730130737223</v>
      </c>
      <c r="K190" s="153">
        <f t="shared" si="41"/>
        <v>7.4490983802336048</v>
      </c>
      <c r="L190" s="154">
        <f>+J190-K190</f>
        <v>7.5766317505036183</v>
      </c>
      <c r="M190" s="103">
        <f t="shared" si="48"/>
        <v>0.54249793747373587</v>
      </c>
      <c r="N190" s="155">
        <f t="shared" si="49"/>
        <v>8.1191296879773542</v>
      </c>
      <c r="O190" s="103">
        <v>0</v>
      </c>
      <c r="P190" s="103">
        <v>0</v>
      </c>
      <c r="Q190" s="103">
        <v>0</v>
      </c>
      <c r="R190" s="155">
        <f t="shared" si="50"/>
        <v>8.1191296879773542</v>
      </c>
    </row>
    <row r="191" spans="1:18" x14ac:dyDescent="0.25">
      <c r="A191" s="85">
        <v>4</v>
      </c>
      <c r="B191" s="149">
        <f t="shared" si="45"/>
        <v>45748</v>
      </c>
      <c r="C191" s="165">
        <f t="shared" si="58"/>
        <v>45782</v>
      </c>
      <c r="D191" s="165">
        <f t="shared" si="58"/>
        <v>45803</v>
      </c>
      <c r="E191" s="1" t="s">
        <v>59</v>
      </c>
      <c r="F191" s="85">
        <v>9</v>
      </c>
      <c r="G191" s="151">
        <v>32</v>
      </c>
      <c r="H191" s="152">
        <f t="shared" si="46"/>
        <v>0.24830327934112015</v>
      </c>
      <c r="I191" s="152">
        <f t="shared" si="57"/>
        <v>0.50085767102457412</v>
      </c>
      <c r="J191" s="103">
        <f t="shared" si="47"/>
        <v>16.027445472786372</v>
      </c>
      <c r="K191" s="153">
        <f t="shared" si="41"/>
        <v>7.9457049389158447</v>
      </c>
      <c r="L191" s="154">
        <f t="shared" ref="L191:L201" si="59">+J191-K191</f>
        <v>8.0817405338705264</v>
      </c>
      <c r="M191" s="103">
        <f t="shared" si="48"/>
        <v>0.57866446663865156</v>
      </c>
      <c r="N191" s="155">
        <f t="shared" si="49"/>
        <v>8.6604050005091775</v>
      </c>
      <c r="O191" s="103">
        <v>0</v>
      </c>
      <c r="P191" s="103">
        <v>0</v>
      </c>
      <c r="Q191" s="103">
        <v>0</v>
      </c>
      <c r="R191" s="155">
        <f t="shared" si="50"/>
        <v>8.6604050005091775</v>
      </c>
    </row>
    <row r="192" spans="1:18" x14ac:dyDescent="0.25">
      <c r="A192" s="85">
        <v>5</v>
      </c>
      <c r="B192" s="149">
        <f t="shared" si="45"/>
        <v>45778</v>
      </c>
      <c r="C192" s="165">
        <f t="shared" si="58"/>
        <v>45812</v>
      </c>
      <c r="D192" s="165">
        <f t="shared" si="58"/>
        <v>45832</v>
      </c>
      <c r="E192" s="1" t="s">
        <v>59</v>
      </c>
      <c r="F192" s="85">
        <v>9</v>
      </c>
      <c r="G192" s="151">
        <v>39</v>
      </c>
      <c r="H192" s="152">
        <f t="shared" si="46"/>
        <v>0.24830327934112015</v>
      </c>
      <c r="I192" s="152">
        <f t="shared" si="57"/>
        <v>0.50085767102457412</v>
      </c>
      <c r="J192" s="103">
        <f t="shared" si="47"/>
        <v>19.533449169958391</v>
      </c>
      <c r="K192" s="153">
        <f t="shared" si="41"/>
        <v>9.6838278943036862</v>
      </c>
      <c r="L192" s="154">
        <f t="shared" si="59"/>
        <v>9.8496212756547052</v>
      </c>
      <c r="M192" s="103">
        <f t="shared" si="48"/>
        <v>0.70524731871585666</v>
      </c>
      <c r="N192" s="155">
        <f t="shared" si="49"/>
        <v>10.554868594370562</v>
      </c>
      <c r="O192" s="103">
        <v>0</v>
      </c>
      <c r="P192" s="103">
        <v>0</v>
      </c>
      <c r="Q192" s="103">
        <v>0</v>
      </c>
      <c r="R192" s="155">
        <f t="shared" si="50"/>
        <v>10.554868594370562</v>
      </c>
    </row>
    <row r="193" spans="1:18" x14ac:dyDescent="0.25">
      <c r="A193" s="85">
        <v>6</v>
      </c>
      <c r="B193" s="149">
        <f t="shared" si="45"/>
        <v>45809</v>
      </c>
      <c r="C193" s="165">
        <f t="shared" si="58"/>
        <v>45841</v>
      </c>
      <c r="D193" s="165">
        <f t="shared" si="58"/>
        <v>45862</v>
      </c>
      <c r="E193" s="1" t="s">
        <v>59</v>
      </c>
      <c r="F193" s="85">
        <v>9</v>
      </c>
      <c r="G193" s="151">
        <v>47</v>
      </c>
      <c r="H193" s="152">
        <f t="shared" si="46"/>
        <v>0.24830327934112015</v>
      </c>
      <c r="I193" s="152">
        <f t="shared" si="57"/>
        <v>0.50085767102457412</v>
      </c>
      <c r="J193" s="103">
        <f t="shared" si="47"/>
        <v>23.540310538154984</v>
      </c>
      <c r="K193" s="153">
        <f t="shared" si="41"/>
        <v>11.670254129032648</v>
      </c>
      <c r="L193" s="154">
        <f t="shared" si="59"/>
        <v>11.870056409122336</v>
      </c>
      <c r="M193" s="103">
        <f t="shared" si="48"/>
        <v>0.84991343537551955</v>
      </c>
      <c r="N193" s="155">
        <f t="shared" si="49"/>
        <v>12.719969844497856</v>
      </c>
      <c r="O193" s="103">
        <v>0</v>
      </c>
      <c r="P193" s="103">
        <v>0</v>
      </c>
      <c r="Q193" s="103">
        <v>0</v>
      </c>
      <c r="R193" s="155">
        <f t="shared" si="50"/>
        <v>12.719969844497856</v>
      </c>
    </row>
    <row r="194" spans="1:18" x14ac:dyDescent="0.25">
      <c r="A194" s="85">
        <v>7</v>
      </c>
      <c r="B194" s="149">
        <f t="shared" si="45"/>
        <v>45839</v>
      </c>
      <c r="C194" s="165">
        <f t="shared" si="58"/>
        <v>45874</v>
      </c>
      <c r="D194" s="165">
        <f t="shared" si="58"/>
        <v>45894</v>
      </c>
      <c r="E194" s="1" t="s">
        <v>59</v>
      </c>
      <c r="F194" s="85">
        <v>9</v>
      </c>
      <c r="G194" s="151">
        <v>53</v>
      </c>
      <c r="H194" s="152">
        <f t="shared" si="46"/>
        <v>0.24830327934112015</v>
      </c>
      <c r="I194" s="152">
        <f t="shared" si="57"/>
        <v>0.50085767102457412</v>
      </c>
      <c r="J194" s="103">
        <f t="shared" si="47"/>
        <v>26.54545656430243</v>
      </c>
      <c r="K194" s="153">
        <f t="shared" si="41"/>
        <v>13.160073805079367</v>
      </c>
      <c r="L194" s="154">
        <f t="shared" si="59"/>
        <v>13.385382759223063</v>
      </c>
      <c r="M194" s="103">
        <f t="shared" si="48"/>
        <v>0.95841302287026675</v>
      </c>
      <c r="N194" s="155">
        <f t="shared" si="49"/>
        <v>14.343795782093331</v>
      </c>
      <c r="O194" s="103">
        <v>0</v>
      </c>
      <c r="P194" s="103">
        <v>0</v>
      </c>
      <c r="Q194" s="103">
        <v>0</v>
      </c>
      <c r="R194" s="155">
        <f t="shared" si="50"/>
        <v>14.343795782093331</v>
      </c>
    </row>
    <row r="195" spans="1:18" x14ac:dyDescent="0.25">
      <c r="A195" s="85">
        <v>8</v>
      </c>
      <c r="B195" s="149">
        <f t="shared" si="45"/>
        <v>45870</v>
      </c>
      <c r="C195" s="165">
        <f t="shared" si="58"/>
        <v>45904</v>
      </c>
      <c r="D195" s="165">
        <f t="shared" si="58"/>
        <v>45924</v>
      </c>
      <c r="E195" s="1" t="s">
        <v>59</v>
      </c>
      <c r="F195" s="85">
        <v>9</v>
      </c>
      <c r="G195" s="151">
        <v>52</v>
      </c>
      <c r="H195" s="152">
        <f t="shared" si="46"/>
        <v>0.24830327934112015</v>
      </c>
      <c r="I195" s="152">
        <f t="shared" si="57"/>
        <v>0.50085767102457412</v>
      </c>
      <c r="J195" s="103">
        <f t="shared" si="47"/>
        <v>26.044598893277854</v>
      </c>
      <c r="K195" s="153">
        <f t="shared" si="41"/>
        <v>12.911770525738248</v>
      </c>
      <c r="L195" s="154">
        <f t="shared" si="59"/>
        <v>13.132828367539606</v>
      </c>
      <c r="M195" s="103">
        <f t="shared" si="48"/>
        <v>0.94032975828780885</v>
      </c>
      <c r="N195" s="155">
        <f t="shared" si="49"/>
        <v>14.073158125827415</v>
      </c>
      <c r="O195" s="103">
        <v>0</v>
      </c>
      <c r="P195" s="103">
        <v>0</v>
      </c>
      <c r="Q195" s="103">
        <v>0</v>
      </c>
      <c r="R195" s="155">
        <f t="shared" si="50"/>
        <v>14.073158125827415</v>
      </c>
    </row>
    <row r="196" spans="1:18" x14ac:dyDescent="0.25">
      <c r="A196" s="85">
        <v>9</v>
      </c>
      <c r="B196" s="149">
        <f t="shared" si="45"/>
        <v>45901</v>
      </c>
      <c r="C196" s="165">
        <f t="shared" si="58"/>
        <v>45933</v>
      </c>
      <c r="D196" s="165">
        <f t="shared" si="58"/>
        <v>45954</v>
      </c>
      <c r="E196" s="1" t="s">
        <v>59</v>
      </c>
      <c r="F196" s="85">
        <v>9</v>
      </c>
      <c r="G196" s="151">
        <v>45</v>
      </c>
      <c r="H196" s="152">
        <f t="shared" si="46"/>
        <v>0.24830327934112015</v>
      </c>
      <c r="I196" s="152">
        <f t="shared" si="57"/>
        <v>0.50085767102457412</v>
      </c>
      <c r="J196" s="103">
        <f t="shared" si="47"/>
        <v>22.538595196105835</v>
      </c>
      <c r="K196" s="153">
        <f t="shared" si="41"/>
        <v>11.173647570350406</v>
      </c>
      <c r="L196" s="154">
        <f t="shared" si="59"/>
        <v>11.364947625755429</v>
      </c>
      <c r="M196" s="103">
        <f t="shared" si="48"/>
        <v>0.81374690621060386</v>
      </c>
      <c r="N196" s="155">
        <f t="shared" si="49"/>
        <v>12.178694531966032</v>
      </c>
      <c r="O196" s="103">
        <v>0</v>
      </c>
      <c r="P196" s="103">
        <v>0</v>
      </c>
      <c r="Q196" s="103">
        <v>0</v>
      </c>
      <c r="R196" s="155">
        <f t="shared" si="50"/>
        <v>12.178694531966032</v>
      </c>
    </row>
    <row r="197" spans="1:18" x14ac:dyDescent="0.25">
      <c r="A197" s="85">
        <v>10</v>
      </c>
      <c r="B197" s="149">
        <f t="shared" si="45"/>
        <v>45931</v>
      </c>
      <c r="C197" s="165">
        <f t="shared" si="58"/>
        <v>45966</v>
      </c>
      <c r="D197" s="165">
        <f t="shared" si="58"/>
        <v>45985</v>
      </c>
      <c r="E197" s="1" t="s">
        <v>59</v>
      </c>
      <c r="F197" s="85">
        <v>9</v>
      </c>
      <c r="G197" s="151">
        <v>41</v>
      </c>
      <c r="H197" s="152">
        <f t="shared" si="46"/>
        <v>0.24830327934112015</v>
      </c>
      <c r="I197" s="152">
        <f t="shared" si="57"/>
        <v>0.50085767102457412</v>
      </c>
      <c r="J197" s="103">
        <f t="shared" si="47"/>
        <v>20.53516451200754</v>
      </c>
      <c r="K197" s="153">
        <f t="shared" si="41"/>
        <v>10.180434452985926</v>
      </c>
      <c r="L197" s="154">
        <f t="shared" si="59"/>
        <v>10.354730059021614</v>
      </c>
      <c r="M197" s="103">
        <f t="shared" si="48"/>
        <v>0.74141384788077236</v>
      </c>
      <c r="N197" s="155">
        <f t="shared" si="49"/>
        <v>11.096143906902387</v>
      </c>
      <c r="O197" s="103">
        <v>0</v>
      </c>
      <c r="P197" s="103">
        <v>0</v>
      </c>
      <c r="Q197" s="103">
        <v>0</v>
      </c>
      <c r="R197" s="155">
        <f t="shared" si="50"/>
        <v>11.096143906902387</v>
      </c>
    </row>
    <row r="198" spans="1:18" x14ac:dyDescent="0.25">
      <c r="A198" s="85">
        <v>11</v>
      </c>
      <c r="B198" s="149">
        <f t="shared" si="45"/>
        <v>45962</v>
      </c>
      <c r="C198" s="165">
        <f t="shared" si="58"/>
        <v>45994</v>
      </c>
      <c r="D198" s="165">
        <f t="shared" si="58"/>
        <v>46015</v>
      </c>
      <c r="E198" s="1" t="s">
        <v>59</v>
      </c>
      <c r="F198" s="85">
        <v>9</v>
      </c>
      <c r="G198" s="151">
        <v>29</v>
      </c>
      <c r="H198" s="152">
        <f t="shared" si="46"/>
        <v>0.24830327934112015</v>
      </c>
      <c r="I198" s="152">
        <f t="shared" si="57"/>
        <v>0.50085767102457412</v>
      </c>
      <c r="J198" s="103">
        <f t="shared" si="47"/>
        <v>14.52487245971265</v>
      </c>
      <c r="K198" s="153">
        <f t="shared" ref="K198:K209" si="60">+$G198*H198</f>
        <v>7.200795100892484</v>
      </c>
      <c r="L198" s="154">
        <f t="shared" si="59"/>
        <v>7.3240773588201664</v>
      </c>
      <c r="M198" s="103">
        <f t="shared" si="48"/>
        <v>0.52441467289127808</v>
      </c>
      <c r="N198" s="155">
        <f t="shared" si="49"/>
        <v>7.8484920317114444</v>
      </c>
      <c r="O198" s="103">
        <v>0</v>
      </c>
      <c r="P198" s="103">
        <v>0</v>
      </c>
      <c r="Q198" s="103">
        <v>0</v>
      </c>
      <c r="R198" s="155">
        <f t="shared" si="50"/>
        <v>7.8484920317114444</v>
      </c>
    </row>
    <row r="199" spans="1:18" s="169" customFormat="1" x14ac:dyDescent="0.25">
      <c r="A199" s="85">
        <v>12</v>
      </c>
      <c r="B199" s="167">
        <f t="shared" si="45"/>
        <v>45992</v>
      </c>
      <c r="C199" s="165">
        <f t="shared" si="58"/>
        <v>46028</v>
      </c>
      <c r="D199" s="165">
        <f t="shared" si="58"/>
        <v>46048</v>
      </c>
      <c r="E199" s="168" t="s">
        <v>59</v>
      </c>
      <c r="F199" s="126">
        <v>9</v>
      </c>
      <c r="G199" s="207">
        <v>36</v>
      </c>
      <c r="H199" s="157">
        <f t="shared" si="46"/>
        <v>0.24830327934112015</v>
      </c>
      <c r="I199" s="157">
        <f t="shared" si="57"/>
        <v>0.50085767102457412</v>
      </c>
      <c r="J199" s="158">
        <f t="shared" si="47"/>
        <v>18.03087615688467</v>
      </c>
      <c r="K199" s="159">
        <f t="shared" si="60"/>
        <v>8.9389180562803254</v>
      </c>
      <c r="L199" s="160">
        <f t="shared" si="59"/>
        <v>9.0919581006043444</v>
      </c>
      <c r="M199" s="158">
        <f t="shared" si="48"/>
        <v>0.65099752496848307</v>
      </c>
      <c r="N199" s="208">
        <f t="shared" si="49"/>
        <v>9.7429556255728276</v>
      </c>
      <c r="O199" s="158">
        <v>0</v>
      </c>
      <c r="P199" s="158">
        <v>0</v>
      </c>
      <c r="Q199" s="158">
        <v>0</v>
      </c>
      <c r="R199" s="208">
        <f t="shared" si="50"/>
        <v>9.7429556255728276</v>
      </c>
    </row>
    <row r="200" spans="1:18" x14ac:dyDescent="0.25">
      <c r="A200" s="85">
        <v>1</v>
      </c>
      <c r="B200" s="149">
        <f t="shared" si="45"/>
        <v>45658</v>
      </c>
      <c r="C200" s="162">
        <f t="shared" si="58"/>
        <v>45693</v>
      </c>
      <c r="D200" s="162">
        <f t="shared" si="58"/>
        <v>45712</v>
      </c>
      <c r="E200" s="150" t="s">
        <v>17</v>
      </c>
      <c r="F200" s="85">
        <v>9</v>
      </c>
      <c r="G200" s="151">
        <v>106</v>
      </c>
      <c r="H200" s="152">
        <f t="shared" si="46"/>
        <v>0.24830327934112015</v>
      </c>
      <c r="I200" s="152">
        <f t="shared" si="57"/>
        <v>0.50085767102457412</v>
      </c>
      <c r="J200" s="103">
        <f t="shared" si="47"/>
        <v>53.090913128604861</v>
      </c>
      <c r="K200" s="153">
        <f t="shared" si="60"/>
        <v>26.320147610158735</v>
      </c>
      <c r="L200" s="154">
        <f t="shared" si="59"/>
        <v>26.770765518446126</v>
      </c>
      <c r="M200" s="103">
        <f t="shared" si="48"/>
        <v>1.9168260457405335</v>
      </c>
      <c r="N200" s="155">
        <f t="shared" si="49"/>
        <v>28.687591564186661</v>
      </c>
      <c r="O200" s="103">
        <v>0</v>
      </c>
      <c r="P200" s="103">
        <v>0</v>
      </c>
      <c r="Q200" s="103">
        <v>0</v>
      </c>
      <c r="R200" s="155">
        <f t="shared" si="50"/>
        <v>28.687591564186661</v>
      </c>
    </row>
    <row r="201" spans="1:18" x14ac:dyDescent="0.25">
      <c r="A201" s="85">
        <v>2</v>
      </c>
      <c r="B201" s="149">
        <f t="shared" si="45"/>
        <v>45689</v>
      </c>
      <c r="C201" s="165">
        <f t="shared" si="58"/>
        <v>45721</v>
      </c>
      <c r="D201" s="165">
        <f t="shared" si="58"/>
        <v>45740</v>
      </c>
      <c r="E201" s="156" t="s">
        <v>17</v>
      </c>
      <c r="F201" s="85">
        <v>9</v>
      </c>
      <c r="G201" s="151">
        <v>102</v>
      </c>
      <c r="H201" s="152">
        <f t="shared" si="46"/>
        <v>0.24830327934112015</v>
      </c>
      <c r="I201" s="152">
        <f t="shared" si="57"/>
        <v>0.50085767102457412</v>
      </c>
      <c r="J201" s="103">
        <f t="shared" si="47"/>
        <v>51.087482444506563</v>
      </c>
      <c r="K201" s="153">
        <f t="shared" si="60"/>
        <v>25.326934492794255</v>
      </c>
      <c r="L201" s="154">
        <f t="shared" si="59"/>
        <v>25.760547951712308</v>
      </c>
      <c r="M201" s="103">
        <f t="shared" si="48"/>
        <v>1.8444929874107021</v>
      </c>
      <c r="N201" s="155">
        <f t="shared" si="49"/>
        <v>27.605040939123011</v>
      </c>
      <c r="O201" s="103">
        <v>0</v>
      </c>
      <c r="P201" s="103">
        <v>0</v>
      </c>
      <c r="Q201" s="103">
        <v>0</v>
      </c>
      <c r="R201" s="155">
        <f t="shared" si="50"/>
        <v>27.605040939123011</v>
      </c>
    </row>
    <row r="202" spans="1:18" x14ac:dyDescent="0.25">
      <c r="A202" s="85">
        <v>3</v>
      </c>
      <c r="B202" s="149">
        <f t="shared" si="45"/>
        <v>45717</v>
      </c>
      <c r="C202" s="165">
        <f t="shared" si="58"/>
        <v>45750</v>
      </c>
      <c r="D202" s="165">
        <f t="shared" si="58"/>
        <v>45771</v>
      </c>
      <c r="E202" s="156" t="s">
        <v>17</v>
      </c>
      <c r="F202" s="85">
        <v>9</v>
      </c>
      <c r="G202" s="151">
        <v>100</v>
      </c>
      <c r="H202" s="152">
        <f t="shared" si="46"/>
        <v>0.24830327934112015</v>
      </c>
      <c r="I202" s="152">
        <f t="shared" si="57"/>
        <v>0.50085767102457412</v>
      </c>
      <c r="J202" s="103">
        <f t="shared" si="47"/>
        <v>50.08576710245741</v>
      </c>
      <c r="K202" s="153">
        <f t="shared" si="60"/>
        <v>24.830327934112013</v>
      </c>
      <c r="L202" s="154">
        <f>+J202-K202</f>
        <v>25.255439168345397</v>
      </c>
      <c r="M202" s="103">
        <f t="shared" si="48"/>
        <v>1.8083264582457863</v>
      </c>
      <c r="N202" s="155">
        <f t="shared" si="49"/>
        <v>27.063765626591184</v>
      </c>
      <c r="O202" s="103">
        <v>0</v>
      </c>
      <c r="P202" s="103">
        <v>0</v>
      </c>
      <c r="Q202" s="103">
        <v>0</v>
      </c>
      <c r="R202" s="155">
        <f t="shared" si="50"/>
        <v>27.063765626591184</v>
      </c>
    </row>
    <row r="203" spans="1:18" x14ac:dyDescent="0.25">
      <c r="A203" s="85">
        <v>4</v>
      </c>
      <c r="B203" s="149">
        <f t="shared" si="45"/>
        <v>45748</v>
      </c>
      <c r="C203" s="165">
        <f t="shared" si="58"/>
        <v>45782</v>
      </c>
      <c r="D203" s="165">
        <f t="shared" si="58"/>
        <v>45803</v>
      </c>
      <c r="E203" s="156" t="s">
        <v>17</v>
      </c>
      <c r="F203" s="85">
        <v>9</v>
      </c>
      <c r="G203" s="151">
        <v>60</v>
      </c>
      <c r="H203" s="152">
        <f t="shared" si="46"/>
        <v>0.24830327934112015</v>
      </c>
      <c r="I203" s="152">
        <f t="shared" si="57"/>
        <v>0.50085767102457412</v>
      </c>
      <c r="J203" s="103">
        <f t="shared" si="47"/>
        <v>30.051460261474446</v>
      </c>
      <c r="K203" s="153">
        <f t="shared" si="60"/>
        <v>14.89819676046721</v>
      </c>
      <c r="L203" s="154">
        <f t="shared" ref="L203:L211" si="61">+J203-K203</f>
        <v>15.153263501007237</v>
      </c>
      <c r="M203" s="103">
        <f t="shared" si="48"/>
        <v>1.0849958749474717</v>
      </c>
      <c r="N203" s="155">
        <f t="shared" si="49"/>
        <v>16.238259375954708</v>
      </c>
      <c r="O203" s="103">
        <v>0</v>
      </c>
      <c r="P203" s="103">
        <v>0</v>
      </c>
      <c r="Q203" s="103">
        <v>0</v>
      </c>
      <c r="R203" s="155">
        <f t="shared" si="50"/>
        <v>16.238259375954708</v>
      </c>
    </row>
    <row r="204" spans="1:18" x14ac:dyDescent="0.25">
      <c r="A204" s="85">
        <v>5</v>
      </c>
      <c r="B204" s="149">
        <f t="shared" si="45"/>
        <v>45778</v>
      </c>
      <c r="C204" s="165">
        <f t="shared" si="58"/>
        <v>45812</v>
      </c>
      <c r="D204" s="165">
        <f t="shared" si="58"/>
        <v>45832</v>
      </c>
      <c r="E204" s="1" t="s">
        <v>17</v>
      </c>
      <c r="F204" s="85">
        <v>9</v>
      </c>
      <c r="G204" s="151">
        <v>96</v>
      </c>
      <c r="H204" s="152">
        <f t="shared" si="46"/>
        <v>0.24830327934112015</v>
      </c>
      <c r="I204" s="152">
        <f t="shared" si="57"/>
        <v>0.50085767102457412</v>
      </c>
      <c r="J204" s="103">
        <f t="shared" si="47"/>
        <v>48.08233641835912</v>
      </c>
      <c r="K204" s="153">
        <f t="shared" si="60"/>
        <v>23.837114816747533</v>
      </c>
      <c r="L204" s="154">
        <f t="shared" si="61"/>
        <v>24.245221601611586</v>
      </c>
      <c r="M204" s="103">
        <f t="shared" si="48"/>
        <v>1.7359933999159549</v>
      </c>
      <c r="N204" s="155">
        <f t="shared" si="49"/>
        <v>25.981215001527541</v>
      </c>
      <c r="O204" s="103">
        <v>0</v>
      </c>
      <c r="P204" s="103">
        <v>0</v>
      </c>
      <c r="Q204" s="103">
        <v>0</v>
      </c>
      <c r="R204" s="155">
        <f t="shared" si="50"/>
        <v>25.981215001527541</v>
      </c>
    </row>
    <row r="205" spans="1:18" x14ac:dyDescent="0.25">
      <c r="A205" s="85">
        <v>6</v>
      </c>
      <c r="B205" s="149">
        <f t="shared" si="45"/>
        <v>45809</v>
      </c>
      <c r="C205" s="165">
        <f t="shared" si="58"/>
        <v>45841</v>
      </c>
      <c r="D205" s="165">
        <f t="shared" si="58"/>
        <v>45862</v>
      </c>
      <c r="E205" s="1" t="s">
        <v>17</v>
      </c>
      <c r="F205" s="85">
        <v>9</v>
      </c>
      <c r="G205" s="151">
        <v>119</v>
      </c>
      <c r="H205" s="152">
        <f t="shared" si="46"/>
        <v>0.24830327934112015</v>
      </c>
      <c r="I205" s="152">
        <f t="shared" si="57"/>
        <v>0.50085767102457412</v>
      </c>
      <c r="J205" s="103">
        <f t="shared" si="47"/>
        <v>59.602062851924323</v>
      </c>
      <c r="K205" s="153">
        <f t="shared" si="60"/>
        <v>29.548090241593297</v>
      </c>
      <c r="L205" s="154">
        <f t="shared" si="61"/>
        <v>30.053972610331027</v>
      </c>
      <c r="M205" s="103">
        <f t="shared" si="48"/>
        <v>2.1519084853124855</v>
      </c>
      <c r="N205" s="155">
        <f t="shared" si="49"/>
        <v>32.205881095643512</v>
      </c>
      <c r="O205" s="103">
        <v>0</v>
      </c>
      <c r="P205" s="103">
        <v>0</v>
      </c>
      <c r="Q205" s="103">
        <v>0</v>
      </c>
      <c r="R205" s="155">
        <f t="shared" si="50"/>
        <v>32.205881095643512</v>
      </c>
    </row>
    <row r="206" spans="1:18" x14ac:dyDescent="0.25">
      <c r="A206" s="85">
        <v>7</v>
      </c>
      <c r="B206" s="149">
        <f t="shared" si="45"/>
        <v>45839</v>
      </c>
      <c r="C206" s="165">
        <f t="shared" si="58"/>
        <v>45874</v>
      </c>
      <c r="D206" s="165">
        <f t="shared" si="58"/>
        <v>45894</v>
      </c>
      <c r="E206" s="1" t="s">
        <v>17</v>
      </c>
      <c r="F206" s="85">
        <v>9</v>
      </c>
      <c r="G206" s="151">
        <v>118</v>
      </c>
      <c r="H206" s="152">
        <f t="shared" si="46"/>
        <v>0.24830327934112015</v>
      </c>
      <c r="I206" s="152">
        <f t="shared" si="57"/>
        <v>0.50085767102457412</v>
      </c>
      <c r="J206" s="103">
        <f t="shared" si="47"/>
        <v>59.101205180899747</v>
      </c>
      <c r="K206" s="153">
        <f t="shared" si="60"/>
        <v>29.299786962252178</v>
      </c>
      <c r="L206" s="154">
        <f t="shared" si="61"/>
        <v>29.801418218647569</v>
      </c>
      <c r="M206" s="103">
        <f t="shared" si="48"/>
        <v>2.1338252207300279</v>
      </c>
      <c r="N206" s="155">
        <f t="shared" si="49"/>
        <v>31.935243439377597</v>
      </c>
      <c r="O206" s="103">
        <v>0</v>
      </c>
      <c r="P206" s="103">
        <v>0</v>
      </c>
      <c r="Q206" s="103">
        <v>0</v>
      </c>
      <c r="R206" s="155">
        <f t="shared" si="50"/>
        <v>31.935243439377597</v>
      </c>
    </row>
    <row r="207" spans="1:18" x14ac:dyDescent="0.25">
      <c r="A207" s="85">
        <v>8</v>
      </c>
      <c r="B207" s="149">
        <f t="shared" si="45"/>
        <v>45870</v>
      </c>
      <c r="C207" s="165">
        <f t="shared" si="58"/>
        <v>45904</v>
      </c>
      <c r="D207" s="165">
        <f t="shared" si="58"/>
        <v>45924</v>
      </c>
      <c r="E207" s="1" t="s">
        <v>17</v>
      </c>
      <c r="F207" s="85">
        <v>9</v>
      </c>
      <c r="G207" s="151">
        <v>119</v>
      </c>
      <c r="H207" s="152">
        <f t="shared" si="46"/>
        <v>0.24830327934112015</v>
      </c>
      <c r="I207" s="152">
        <f t="shared" si="57"/>
        <v>0.50085767102457412</v>
      </c>
      <c r="J207" s="103">
        <f t="shared" si="47"/>
        <v>59.602062851924323</v>
      </c>
      <c r="K207" s="153">
        <f t="shared" si="60"/>
        <v>29.548090241593297</v>
      </c>
      <c r="L207" s="154">
        <f t="shared" si="61"/>
        <v>30.053972610331027</v>
      </c>
      <c r="M207" s="103">
        <f t="shared" si="48"/>
        <v>2.1519084853124855</v>
      </c>
      <c r="N207" s="155">
        <f t="shared" si="49"/>
        <v>32.205881095643512</v>
      </c>
      <c r="O207" s="103">
        <v>0</v>
      </c>
      <c r="P207" s="103">
        <v>0</v>
      </c>
      <c r="Q207" s="103">
        <v>0</v>
      </c>
      <c r="R207" s="155">
        <f t="shared" si="50"/>
        <v>32.205881095643512</v>
      </c>
    </row>
    <row r="208" spans="1:18" x14ac:dyDescent="0.25">
      <c r="A208" s="85">
        <v>9</v>
      </c>
      <c r="B208" s="149">
        <f t="shared" si="45"/>
        <v>45901</v>
      </c>
      <c r="C208" s="165">
        <f t="shared" si="58"/>
        <v>45933</v>
      </c>
      <c r="D208" s="165">
        <f t="shared" si="58"/>
        <v>45954</v>
      </c>
      <c r="E208" s="1" t="s">
        <v>17</v>
      </c>
      <c r="F208" s="85">
        <v>9</v>
      </c>
      <c r="G208" s="151">
        <v>101</v>
      </c>
      <c r="H208" s="152">
        <f t="shared" si="46"/>
        <v>0.24830327934112015</v>
      </c>
      <c r="I208" s="152">
        <f t="shared" si="57"/>
        <v>0.50085767102457412</v>
      </c>
      <c r="J208" s="103">
        <f t="shared" si="47"/>
        <v>50.586624773481986</v>
      </c>
      <c r="K208" s="153">
        <f t="shared" si="60"/>
        <v>25.078631213453136</v>
      </c>
      <c r="L208" s="154">
        <f t="shared" si="61"/>
        <v>25.507993560028851</v>
      </c>
      <c r="M208" s="103">
        <f t="shared" si="48"/>
        <v>1.8264097228282441</v>
      </c>
      <c r="N208" s="155">
        <f t="shared" si="49"/>
        <v>27.334403282857096</v>
      </c>
      <c r="O208" s="103">
        <v>0</v>
      </c>
      <c r="P208" s="103">
        <v>0</v>
      </c>
      <c r="Q208" s="103">
        <v>0</v>
      </c>
      <c r="R208" s="155">
        <f t="shared" si="50"/>
        <v>27.334403282857096</v>
      </c>
    </row>
    <row r="209" spans="1:18" x14ac:dyDescent="0.25">
      <c r="A209" s="85">
        <v>10</v>
      </c>
      <c r="B209" s="149">
        <f t="shared" si="45"/>
        <v>45931</v>
      </c>
      <c r="C209" s="165">
        <f t="shared" si="58"/>
        <v>45966</v>
      </c>
      <c r="D209" s="165">
        <f t="shared" si="58"/>
        <v>45985</v>
      </c>
      <c r="E209" s="1" t="s">
        <v>17</v>
      </c>
      <c r="F209" s="85">
        <v>9</v>
      </c>
      <c r="G209" s="151">
        <v>106</v>
      </c>
      <c r="H209" s="152">
        <f t="shared" si="46"/>
        <v>0.24830327934112015</v>
      </c>
      <c r="I209" s="152">
        <f t="shared" si="57"/>
        <v>0.50085767102457412</v>
      </c>
      <c r="J209" s="103">
        <f t="shared" si="47"/>
        <v>53.090913128604861</v>
      </c>
      <c r="K209" s="153">
        <f t="shared" si="60"/>
        <v>26.320147610158735</v>
      </c>
      <c r="L209" s="154">
        <f t="shared" si="61"/>
        <v>26.770765518446126</v>
      </c>
      <c r="M209" s="103">
        <f t="shared" si="48"/>
        <v>1.9168260457405335</v>
      </c>
      <c r="N209" s="155">
        <f t="shared" si="49"/>
        <v>28.687591564186661</v>
      </c>
      <c r="O209" s="103">
        <v>0</v>
      </c>
      <c r="P209" s="103">
        <v>0</v>
      </c>
      <c r="Q209" s="103">
        <v>0</v>
      </c>
      <c r="R209" s="155">
        <f t="shared" si="50"/>
        <v>28.687591564186661</v>
      </c>
    </row>
    <row r="210" spans="1:18" x14ac:dyDescent="0.25">
      <c r="A210" s="85">
        <v>11</v>
      </c>
      <c r="B210" s="149">
        <f t="shared" si="45"/>
        <v>45962</v>
      </c>
      <c r="C210" s="165">
        <f t="shared" si="58"/>
        <v>45994</v>
      </c>
      <c r="D210" s="165">
        <f t="shared" si="58"/>
        <v>46015</v>
      </c>
      <c r="E210" s="1" t="s">
        <v>17</v>
      </c>
      <c r="F210" s="85">
        <v>9</v>
      </c>
      <c r="G210" s="151">
        <v>35</v>
      </c>
      <c r="H210" s="152">
        <f t="shared" si="46"/>
        <v>0.24830327934112015</v>
      </c>
      <c r="I210" s="152">
        <f t="shared" si="57"/>
        <v>0.50085767102457412</v>
      </c>
      <c r="J210" s="103">
        <f t="shared" si="47"/>
        <v>17.530018485860094</v>
      </c>
      <c r="K210" s="153">
        <f>+$G210*H210</f>
        <v>8.6906147769392046</v>
      </c>
      <c r="L210" s="154">
        <f t="shared" si="61"/>
        <v>8.839403708920889</v>
      </c>
      <c r="M210" s="103">
        <f t="shared" si="48"/>
        <v>0.63291426038602527</v>
      </c>
      <c r="N210" s="155">
        <f t="shared" si="49"/>
        <v>9.4723179693069142</v>
      </c>
      <c r="O210" s="103">
        <v>0</v>
      </c>
      <c r="P210" s="103">
        <v>0</v>
      </c>
      <c r="Q210" s="103">
        <v>0</v>
      </c>
      <c r="R210" s="155">
        <f t="shared" si="50"/>
        <v>9.4723179693069142</v>
      </c>
    </row>
    <row r="211" spans="1:18" s="169" customFormat="1" x14ac:dyDescent="0.25">
      <c r="A211" s="85">
        <v>12</v>
      </c>
      <c r="B211" s="167">
        <f t="shared" si="45"/>
        <v>45992</v>
      </c>
      <c r="C211" s="170">
        <f t="shared" si="58"/>
        <v>46028</v>
      </c>
      <c r="D211" s="170">
        <f t="shared" si="58"/>
        <v>46048</v>
      </c>
      <c r="E211" s="168" t="s">
        <v>17</v>
      </c>
      <c r="F211" s="126">
        <v>9</v>
      </c>
      <c r="G211" s="207">
        <v>103</v>
      </c>
      <c r="H211" s="157">
        <f t="shared" si="46"/>
        <v>0.24830327934112015</v>
      </c>
      <c r="I211" s="157">
        <f t="shared" si="57"/>
        <v>0.50085767102457412</v>
      </c>
      <c r="J211" s="158">
        <f t="shared" si="47"/>
        <v>51.588340115531132</v>
      </c>
      <c r="K211" s="159">
        <f>+$G211*H211</f>
        <v>25.575237772135374</v>
      </c>
      <c r="L211" s="160">
        <f t="shared" si="61"/>
        <v>26.013102343395758</v>
      </c>
      <c r="M211" s="158">
        <f t="shared" si="48"/>
        <v>1.8625762519931599</v>
      </c>
      <c r="N211" s="208">
        <f t="shared" si="49"/>
        <v>27.875678595388919</v>
      </c>
      <c r="O211" s="158">
        <v>0</v>
      </c>
      <c r="P211" s="158">
        <v>0</v>
      </c>
      <c r="Q211" s="158">
        <v>0</v>
      </c>
      <c r="R211" s="208">
        <f t="shared" si="50"/>
        <v>27.875678595388919</v>
      </c>
    </row>
    <row r="212" spans="1:18" x14ac:dyDescent="0.25">
      <c r="G212" s="175">
        <f>SUM(G20:G211)</f>
        <v>105873</v>
      </c>
      <c r="H212" s="45"/>
      <c r="J212" s="45">
        <f>SUM(J20:J211)</f>
        <v>53027.304204384709</v>
      </c>
      <c r="K212" s="45">
        <f>SUM(K20:K211)</f>
        <v>26288.613093682405</v>
      </c>
      <c r="L212" s="45">
        <f>SUM(L20:L211)</f>
        <v>26738.691110702297</v>
      </c>
      <c r="M212" s="45">
        <f>SUM(M20:M211)</f>
        <v>1914.5294711385582</v>
      </c>
      <c r="N212" s="45"/>
      <c r="O212" s="45"/>
      <c r="P212" s="45">
        <f>SUM(P20:P211)</f>
        <v>0</v>
      </c>
      <c r="Q212" s="45"/>
      <c r="R212" s="176">
        <f>SUM(R20:R211)</f>
        <v>28653.220581840873</v>
      </c>
    </row>
    <row r="213" spans="1:18" x14ac:dyDescent="0.25">
      <c r="P213" s="45"/>
      <c r="Q213" s="45"/>
    </row>
    <row r="220" spans="1:18" x14ac:dyDescent="0.25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76" fitToWidth="2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NTozNC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ODo0NyBQTTwvRGF0ZVRpbWU+PExhYmVsU3RyaW5nPkFFUCB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5ED846E2-06DE-4720-B6D8-DD6060DFDE0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83B6346-A261-434D-BDB9-4EFD40FDC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912DD7-AB24-4970-B801-866A9AB60E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757435-42D5-4E5D-8603-11E91BC90C87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5.xml><?xml version="1.0" encoding="utf-8"?>
<ds:datastoreItem xmlns:ds="http://schemas.openxmlformats.org/officeDocument/2006/customXml" ds:itemID="{1100E739-D8C3-4A9C-B1C9-83933037528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2025 NOLC Refund Detail</vt:lpstr>
      <vt:lpstr>Summary</vt:lpstr>
      <vt:lpstr>Pivot</vt:lpstr>
      <vt:lpstr>Instructions</vt:lpstr>
      <vt:lpstr>Transactions</vt:lpstr>
      <vt:lpstr>Transactions!AS1_1999</vt:lpstr>
      <vt:lpstr>Instructions!Print_Area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Lila P Munsey</cp:lastModifiedBy>
  <cp:lastPrinted>2026-05-21T20:13:32Z</cp:lastPrinted>
  <dcterms:created xsi:type="dcterms:W3CDTF">2009-09-04T18:19:13Z</dcterms:created>
  <dcterms:modified xsi:type="dcterms:W3CDTF">2026-05-21T20:13:34Z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f06838f1-b3e6-44ec-9132-89d348037b5f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{5ED846E2-06DE-4720-B6D8-DD6060DFDE06}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